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381 буйрык\"/>
    </mc:Choice>
  </mc:AlternateContent>
  <xr:revisionPtr revIDLastSave="0" documentId="13_ncr:1_{11BEDC97-3876-44A3-97CC-00BDD97F8B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S46" i="1" s="1"/>
  <c r="T46" i="1" s="1"/>
  <c r="J45" i="1"/>
  <c r="S45" i="1" s="1"/>
  <c r="T45" i="1" s="1"/>
  <c r="S44" i="1"/>
  <c r="T44" i="1" s="1"/>
  <c r="J44" i="1"/>
  <c r="N44" i="1" s="1"/>
  <c r="J43" i="1"/>
  <c r="S43" i="1" s="1"/>
  <c r="T43" i="1" s="1"/>
  <c r="S42" i="1"/>
  <c r="T42" i="1" s="1"/>
  <c r="J42" i="1"/>
  <c r="N42" i="1" s="1"/>
  <c r="J41" i="1"/>
  <c r="S41" i="1" s="1"/>
  <c r="T41" i="1" s="1"/>
  <c r="J40" i="1"/>
  <c r="S40" i="1" s="1"/>
  <c r="T40" i="1" s="1"/>
  <c r="J39" i="1"/>
  <c r="S39" i="1" s="1"/>
  <c r="T39" i="1" s="1"/>
  <c r="N38" i="1"/>
  <c r="J38" i="1"/>
  <c r="S38" i="1" s="1"/>
  <c r="T38" i="1" s="1"/>
  <c r="S37" i="1"/>
  <c r="T37" i="1" s="1"/>
  <c r="J37" i="1"/>
  <c r="N37" i="1" s="1"/>
  <c r="J36" i="1"/>
  <c r="S36" i="1" s="1"/>
  <c r="T36" i="1" s="1"/>
  <c r="S35" i="1"/>
  <c r="T35" i="1" s="1"/>
  <c r="J35" i="1"/>
  <c r="N35" i="1" s="1"/>
  <c r="J34" i="1"/>
  <c r="S34" i="1" s="1"/>
  <c r="T34" i="1" s="1"/>
  <c r="N33" i="1"/>
  <c r="J33" i="1"/>
  <c r="P32" i="1"/>
  <c r="P30" i="1" s="1"/>
  <c r="J32" i="1"/>
  <c r="N32" i="1" s="1"/>
  <c r="AA31" i="1"/>
  <c r="AA30" i="1" s="1"/>
  <c r="N31" i="1"/>
  <c r="J31" i="1"/>
  <c r="S31" i="1" s="1"/>
  <c r="T31" i="1" s="1"/>
  <c r="R30" i="1"/>
  <c r="Q30" i="1"/>
  <c r="O30" i="1"/>
  <c r="M30" i="1"/>
  <c r="I30" i="1"/>
  <c r="G30" i="1"/>
  <c r="AA29" i="1"/>
  <c r="J29" i="1"/>
  <c r="N29" i="1" s="1"/>
  <c r="J28" i="1"/>
  <c r="AA28" i="1" s="1"/>
  <c r="J27" i="1"/>
  <c r="R26" i="1"/>
  <c r="Q26" i="1"/>
  <c r="P26" i="1"/>
  <c r="O26" i="1"/>
  <c r="M26" i="1"/>
  <c r="I26" i="1"/>
  <c r="J25" i="1"/>
  <c r="S25" i="1" s="1"/>
  <c r="T25" i="1" s="1"/>
  <c r="S24" i="1"/>
  <c r="T24" i="1" s="1"/>
  <c r="J24" i="1"/>
  <c r="AA24" i="1" s="1"/>
  <c r="R23" i="1"/>
  <c r="Q23" i="1"/>
  <c r="Q47" i="1" s="1"/>
  <c r="P23" i="1"/>
  <c r="P47" i="1" s="1"/>
  <c r="O23" i="1"/>
  <c r="O47" i="1" s="1"/>
  <c r="M23" i="1"/>
  <c r="I23" i="1"/>
  <c r="AA22" i="1"/>
  <c r="J22" i="1"/>
  <c r="J20" i="1"/>
  <c r="K20" i="1" s="1"/>
  <c r="J19" i="1"/>
  <c r="K19" i="1" s="1"/>
  <c r="M19" i="1" s="1"/>
  <c r="J18" i="1"/>
  <c r="J17" i="1"/>
  <c r="X16" i="1"/>
  <c r="V16" i="1"/>
  <c r="K16" i="1"/>
  <c r="J15" i="1"/>
  <c r="L15" i="1" s="1"/>
  <c r="K14" i="1"/>
  <c r="AA14" i="1" s="1"/>
  <c r="J14" i="1"/>
  <c r="J13" i="1"/>
  <c r="K13" i="1" s="1"/>
  <c r="X12" i="1"/>
  <c r="V12" i="1"/>
  <c r="J12" i="1"/>
  <c r="K12" i="1" s="1"/>
  <c r="J11" i="1"/>
  <c r="K11" i="1" s="1"/>
  <c r="J10" i="1"/>
  <c r="K10" i="1" s="1"/>
  <c r="M10" i="1" s="1"/>
  <c r="X9" i="1"/>
  <c r="V9" i="1"/>
  <c r="J9" i="1"/>
  <c r="K9" i="1" s="1"/>
  <c r="J8" i="1"/>
  <c r="J7" i="1"/>
  <c r="K7" i="1" s="1"/>
  <c r="AA7" i="1" s="1"/>
  <c r="AA6" i="1"/>
  <c r="M6" i="1"/>
  <c r="N6" i="1" s="1"/>
  <c r="S6" i="1" s="1"/>
  <c r="T6" i="1" s="1"/>
  <c r="J6" i="1"/>
  <c r="L6" i="1" s="1"/>
  <c r="AA5" i="1"/>
  <c r="Z5" i="1"/>
  <c r="U5" i="1"/>
  <c r="V5" i="1" s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R3" i="1"/>
  <c r="Q3" i="1"/>
  <c r="P3" i="1"/>
  <c r="O3" i="1"/>
  <c r="J3" i="1"/>
  <c r="I3" i="1"/>
  <c r="H3" i="1"/>
  <c r="G3" i="1"/>
  <c r="AA21" i="1"/>
  <c r="J21" i="1"/>
  <c r="AA20" i="1" l="1"/>
  <c r="M20" i="1"/>
  <c r="N20" i="1" s="1"/>
  <c r="AA11" i="1"/>
  <c r="M11" i="1"/>
  <c r="N11" i="1" s="1"/>
  <c r="N22" i="1"/>
  <c r="S22" i="1" s="1"/>
  <c r="T22" i="1" s="1"/>
  <c r="N28" i="1"/>
  <c r="U28" i="1" s="1"/>
  <c r="Z28" i="1" s="1"/>
  <c r="N43" i="1"/>
  <c r="U43" i="1" s="1"/>
  <c r="M22" i="1"/>
  <c r="S28" i="1"/>
  <c r="T28" i="1" s="1"/>
  <c r="U37" i="1"/>
  <c r="N40" i="1"/>
  <c r="X5" i="1"/>
  <c r="Y5" i="1" s="1"/>
  <c r="S32" i="1"/>
  <c r="T32" i="1" s="1"/>
  <c r="W12" i="1"/>
  <c r="J30" i="1"/>
  <c r="N24" i="1"/>
  <c r="S29" i="1"/>
  <c r="T29" i="1" s="1"/>
  <c r="U29" i="1" s="1"/>
  <c r="U42" i="1"/>
  <c r="Z42" i="1" s="1"/>
  <c r="I47" i="1"/>
  <c r="U31" i="1"/>
  <c r="X31" i="1" s="1"/>
  <c r="J26" i="1"/>
  <c r="Z37" i="1"/>
  <c r="X37" i="1"/>
  <c r="V37" i="1"/>
  <c r="U40" i="1"/>
  <c r="U44" i="1"/>
  <c r="U22" i="1"/>
  <c r="U24" i="1"/>
  <c r="T23" i="1"/>
  <c r="Z31" i="1"/>
  <c r="U38" i="1"/>
  <c r="U35" i="1"/>
  <c r="S23" i="1"/>
  <c r="S33" i="1"/>
  <c r="T33" i="1" s="1"/>
  <c r="U33" i="1" s="1"/>
  <c r="N34" i="1"/>
  <c r="U34" i="1" s="1"/>
  <c r="N39" i="1"/>
  <c r="U39" i="1" s="1"/>
  <c r="J23" i="1"/>
  <c r="J47" i="1" s="1"/>
  <c r="N27" i="1"/>
  <c r="N36" i="1"/>
  <c r="U36" i="1" s="1"/>
  <c r="N45" i="1"/>
  <c r="U45" i="1" s="1"/>
  <c r="N25" i="1"/>
  <c r="AA25" i="1"/>
  <c r="AA23" i="1" s="1"/>
  <c r="S27" i="1"/>
  <c r="AA27" i="1"/>
  <c r="AA26" i="1" s="1"/>
  <c r="N41" i="1"/>
  <c r="U41" i="1" s="1"/>
  <c r="N46" i="1"/>
  <c r="U46" i="1" s="1"/>
  <c r="W16" i="1"/>
  <c r="Y16" i="1" s="1"/>
  <c r="AA17" i="1"/>
  <c r="M17" i="1"/>
  <c r="N17" i="1" s="1"/>
  <c r="L17" i="1"/>
  <c r="AA18" i="1"/>
  <c r="L18" i="1"/>
  <c r="M18" i="1"/>
  <c r="N18" i="1" s="1"/>
  <c r="M12" i="1"/>
  <c r="N12" i="1" s="1"/>
  <c r="L12" i="1"/>
  <c r="AA13" i="1"/>
  <c r="M13" i="1"/>
  <c r="N13" i="1" s="1"/>
  <c r="L13" i="1"/>
  <c r="AA4" i="1"/>
  <c r="AA3" i="1" s="1"/>
  <c r="K3" i="1"/>
  <c r="L3" i="1" s="1"/>
  <c r="L4" i="1"/>
  <c r="K47" i="1" s="1"/>
  <c r="M4" i="1"/>
  <c r="M3" i="1" s="1"/>
  <c r="L8" i="1"/>
  <c r="M8" i="1"/>
  <c r="N8" i="1" s="1"/>
  <c r="S11" i="1"/>
  <c r="T11" i="1" s="1"/>
  <c r="U11" i="1"/>
  <c r="M9" i="1"/>
  <c r="N9" i="1" s="1"/>
  <c r="L9" i="1"/>
  <c r="L7" i="1"/>
  <c r="W9" i="1"/>
  <c r="Y9" i="1" s="1"/>
  <c r="AA10" i="1"/>
  <c r="L14" i="1"/>
  <c r="AA19" i="1"/>
  <c r="U6" i="1"/>
  <c r="N10" i="1"/>
  <c r="Y12" i="1"/>
  <c r="M15" i="1"/>
  <c r="N15" i="1" s="1"/>
  <c r="N19" i="1"/>
  <c r="M7" i="1"/>
  <c r="N7" i="1" s="1"/>
  <c r="M14" i="1"/>
  <c r="N14" i="1" s="1"/>
  <c r="AA15" i="1"/>
  <c r="L11" i="1"/>
  <c r="L20" i="1"/>
  <c r="L10" i="1"/>
  <c r="L19" i="1"/>
  <c r="M21" i="1"/>
  <c r="N21" i="1" s="1"/>
  <c r="T30" i="1" l="1"/>
  <c r="U32" i="1"/>
  <c r="S20" i="1"/>
  <c r="T20" i="1" s="1"/>
  <c r="U20" i="1"/>
  <c r="X29" i="1"/>
  <c r="V29" i="1"/>
  <c r="W29" i="1" s="1"/>
  <c r="Y29" i="1" s="1"/>
  <c r="Z29" i="1"/>
  <c r="V28" i="1"/>
  <c r="V31" i="1"/>
  <c r="V42" i="1"/>
  <c r="X28" i="1"/>
  <c r="X42" i="1"/>
  <c r="L47" i="1"/>
  <c r="W31" i="1"/>
  <c r="Y37" i="1"/>
  <c r="X34" i="1"/>
  <c r="V34" i="1"/>
  <c r="Z34" i="1"/>
  <c r="Z33" i="1"/>
  <c r="X33" i="1"/>
  <c r="V33" i="1"/>
  <c r="Y33" i="1" s="1"/>
  <c r="W42" i="1"/>
  <c r="Y42" i="1" s="1"/>
  <c r="N23" i="1"/>
  <c r="U25" i="1"/>
  <c r="Z45" i="1"/>
  <c r="V45" i="1"/>
  <c r="X45" i="1"/>
  <c r="Z22" i="1"/>
  <c r="X22" i="1"/>
  <c r="V22" i="1"/>
  <c r="X43" i="1"/>
  <c r="V43" i="1"/>
  <c r="Z43" i="1"/>
  <c r="Z38" i="1"/>
  <c r="X38" i="1"/>
  <c r="V38" i="1"/>
  <c r="W38" i="1" s="1"/>
  <c r="Y38" i="1" s="1"/>
  <c r="Z36" i="1"/>
  <c r="X36" i="1"/>
  <c r="W36" i="1" s="1"/>
  <c r="V36" i="1"/>
  <c r="N30" i="1"/>
  <c r="V35" i="1"/>
  <c r="Z35" i="1"/>
  <c r="X35" i="1"/>
  <c r="V40" i="1"/>
  <c r="Z40" i="1"/>
  <c r="X40" i="1"/>
  <c r="T27" i="1"/>
  <c r="T26" i="1" s="1"/>
  <c r="S26" i="1"/>
  <c r="Z46" i="1"/>
  <c r="X46" i="1"/>
  <c r="V46" i="1"/>
  <c r="Y46" i="1" s="1"/>
  <c r="Z32" i="1"/>
  <c r="Z30" i="1" s="1"/>
  <c r="X32" i="1"/>
  <c r="V32" i="1"/>
  <c r="Z41" i="1"/>
  <c r="X41" i="1"/>
  <c r="V41" i="1"/>
  <c r="N26" i="1"/>
  <c r="U30" i="1"/>
  <c r="V24" i="1"/>
  <c r="Y24" i="1" s="1"/>
  <c r="U23" i="1"/>
  <c r="Z24" i="1"/>
  <c r="X24" i="1"/>
  <c r="V44" i="1"/>
  <c r="Z44" i="1"/>
  <c r="X44" i="1"/>
  <c r="W28" i="1"/>
  <c r="Y28" i="1" s="1"/>
  <c r="S30" i="1"/>
  <c r="X39" i="1"/>
  <c r="V39" i="1"/>
  <c r="W39" i="1" s="1"/>
  <c r="Y39" i="1" s="1"/>
  <c r="Z39" i="1"/>
  <c r="N4" i="1"/>
  <c r="S18" i="1"/>
  <c r="T18" i="1" s="1"/>
  <c r="U18" i="1" s="1"/>
  <c r="S7" i="1"/>
  <c r="T7" i="1" s="1"/>
  <c r="U7" i="1" s="1"/>
  <c r="S13" i="1"/>
  <c r="T13" i="1" s="1"/>
  <c r="U13" i="1" s="1"/>
  <c r="S15" i="1"/>
  <c r="T15" i="1" s="1"/>
  <c r="U15" i="1" s="1"/>
  <c r="S8" i="1"/>
  <c r="T8" i="1" s="1"/>
  <c r="U8" i="1" s="1"/>
  <c r="Z11" i="1"/>
  <c r="X11" i="1"/>
  <c r="V11" i="1"/>
  <c r="S17" i="1"/>
  <c r="T17" i="1" s="1"/>
  <c r="U17" i="1" s="1"/>
  <c r="S14" i="1"/>
  <c r="T14" i="1" s="1"/>
  <c r="U14" i="1" s="1"/>
  <c r="Z6" i="1"/>
  <c r="X6" i="1"/>
  <c r="V6" i="1"/>
  <c r="S19" i="1"/>
  <c r="T19" i="1" s="1"/>
  <c r="U19" i="1" s="1"/>
  <c r="S10" i="1"/>
  <c r="T10" i="1" s="1"/>
  <c r="U10" i="1" s="1"/>
  <c r="Z20" i="1"/>
  <c r="X20" i="1"/>
  <c r="W20" i="1" s="1"/>
  <c r="Y20" i="1" s="1"/>
  <c r="V20" i="1"/>
  <c r="S21" i="1"/>
  <c r="T21" i="1" s="1"/>
  <c r="U21" i="1" s="1"/>
  <c r="W22" i="1" l="1"/>
  <c r="Y22" i="1" s="1"/>
  <c r="W44" i="1"/>
  <c r="Y44" i="1" s="1"/>
  <c r="S4" i="1"/>
  <c r="R47" i="1" s="1"/>
  <c r="M47" i="1"/>
  <c r="Y41" i="1"/>
  <c r="W35" i="1"/>
  <c r="Y35" i="1" s="1"/>
  <c r="Y45" i="1"/>
  <c r="S47" i="1"/>
  <c r="Y32" i="1"/>
  <c r="Y36" i="1"/>
  <c r="Y34" i="1"/>
  <c r="Y31" i="1"/>
  <c r="N47" i="1"/>
  <c r="W43" i="1"/>
  <c r="Y43" i="1" s="1"/>
  <c r="U27" i="1"/>
  <c r="W40" i="1"/>
  <c r="Y40" i="1" s="1"/>
  <c r="X23" i="1"/>
  <c r="V23" i="1"/>
  <c r="Z25" i="1"/>
  <c r="Z23" i="1" s="1"/>
  <c r="X25" i="1"/>
  <c r="Y25" i="1" s="1"/>
  <c r="V25" i="1"/>
  <c r="W6" i="1"/>
  <c r="Y6" i="1" s="1"/>
  <c r="N3" i="1"/>
  <c r="X10" i="1"/>
  <c r="V10" i="1"/>
  <c r="Z10" i="1"/>
  <c r="V14" i="1"/>
  <c r="W14" i="1" s="1"/>
  <c r="Y14" i="1" s="1"/>
  <c r="Z14" i="1"/>
  <c r="X14" i="1"/>
  <c r="X19" i="1"/>
  <c r="V19" i="1"/>
  <c r="Z19" i="1"/>
  <c r="V7" i="1"/>
  <c r="Z7" i="1"/>
  <c r="X7" i="1"/>
  <c r="X8" i="1"/>
  <c r="V8" i="1"/>
  <c r="Z8" i="1"/>
  <c r="V18" i="1"/>
  <c r="Z18" i="1"/>
  <c r="X18" i="1"/>
  <c r="T4" i="1"/>
  <c r="S3" i="1"/>
  <c r="W11" i="1"/>
  <c r="Y11" i="1" s="1"/>
  <c r="X15" i="1"/>
  <c r="V15" i="1"/>
  <c r="W15" i="1" s="1"/>
  <c r="Y15" i="1" s="1"/>
  <c r="Z15" i="1"/>
  <c r="Z17" i="1"/>
  <c r="X17" i="1"/>
  <c r="V17" i="1"/>
  <c r="W17" i="1" s="1"/>
  <c r="Z13" i="1"/>
  <c r="X13" i="1"/>
  <c r="V13" i="1"/>
  <c r="W13" i="1" s="1"/>
  <c r="Y13" i="1" s="1"/>
  <c r="Z21" i="1"/>
  <c r="X21" i="1"/>
  <c r="V21" i="1"/>
  <c r="W10" i="1" l="1"/>
  <c r="Y10" i="1" s="1"/>
  <c r="X47" i="1"/>
  <c r="Z27" i="1"/>
  <c r="Z26" i="1" s="1"/>
  <c r="Z47" i="1" s="1"/>
  <c r="X27" i="1"/>
  <c r="U26" i="1"/>
  <c r="U47" i="1" s="1"/>
  <c r="V27" i="1"/>
  <c r="W23" i="1"/>
  <c r="W47" i="1" s="1"/>
  <c r="W18" i="1"/>
  <c r="Y18" i="1" s="1"/>
  <c r="Y17" i="1"/>
  <c r="W8" i="1"/>
  <c r="Y8" i="1" s="1"/>
  <c r="T3" i="1"/>
  <c r="U4" i="1"/>
  <c r="T47" i="1" s="1"/>
  <c r="W19" i="1"/>
  <c r="Y19" i="1" s="1"/>
  <c r="W7" i="1"/>
  <c r="Y7" i="1" s="1"/>
  <c r="W21" i="1"/>
  <c r="Y21" i="1" s="1"/>
  <c r="W27" i="1" l="1"/>
  <c r="V47" i="1" s="1"/>
  <c r="Y23" i="1"/>
  <c r="Z4" i="1"/>
  <c r="Z3" i="1" s="1"/>
  <c r="U3" i="1"/>
  <c r="Y27" i="1" l="1"/>
  <c r="X3" i="1"/>
  <c r="V3" i="1"/>
  <c r="W3" i="1" s="1"/>
</calcChain>
</file>

<file path=xl/sharedStrings.xml><?xml version="1.0" encoding="utf-8"?>
<sst xmlns="http://schemas.openxmlformats.org/spreadsheetml/2006/main" count="204" uniqueCount="112">
  <si>
    <t>БЛОК А ( управленческий персонал)</t>
  </si>
  <si>
    <t>Амангелдыева А.А</t>
  </si>
  <si>
    <t xml:space="preserve">Директор </t>
  </si>
  <si>
    <t>сред.спец</t>
  </si>
  <si>
    <t>0-3 лет</t>
  </si>
  <si>
    <t>А1-3-1</t>
  </si>
  <si>
    <t>Бегендикова Ж.С</t>
  </si>
  <si>
    <t>Методист</t>
  </si>
  <si>
    <t>высшее</t>
  </si>
  <si>
    <t>5-7 лет</t>
  </si>
  <si>
    <t>В3-3</t>
  </si>
  <si>
    <t>Әділбекұлы Ж</t>
  </si>
  <si>
    <t>В3-4</t>
  </si>
  <si>
    <t>Изображение</t>
  </si>
  <si>
    <t>В3-5</t>
  </si>
  <si>
    <t>Жанайбай М</t>
  </si>
  <si>
    <t>Музыка</t>
  </si>
  <si>
    <t>13-16 лет</t>
  </si>
  <si>
    <t>В2-4</t>
  </si>
  <si>
    <t>Илюбаева Т</t>
  </si>
  <si>
    <t>психолог</t>
  </si>
  <si>
    <t>1-3лет</t>
  </si>
  <si>
    <t>В-3-3</t>
  </si>
  <si>
    <t>Бегендикова Ж.</t>
  </si>
  <si>
    <t>3-5 лет</t>
  </si>
  <si>
    <t>Әділханова Ұ</t>
  </si>
  <si>
    <t>воспитатель</t>
  </si>
  <si>
    <t>средниее</t>
  </si>
  <si>
    <t>2-3ж</t>
  </si>
  <si>
    <t>В4-4</t>
  </si>
  <si>
    <t>среднее</t>
  </si>
  <si>
    <t>2-3 лет</t>
  </si>
  <si>
    <t>Тинеева Алпия</t>
  </si>
  <si>
    <t>Танауова Ж</t>
  </si>
  <si>
    <t>Бердиева Ж</t>
  </si>
  <si>
    <t>7-10 лет</t>
  </si>
  <si>
    <t>Жолдасбаева Г</t>
  </si>
  <si>
    <t>1-2 лет</t>
  </si>
  <si>
    <t>медсестра</t>
  </si>
  <si>
    <t>В4-3</t>
  </si>
  <si>
    <t>№</t>
  </si>
  <si>
    <t>Ф.И.О.</t>
  </si>
  <si>
    <t>Наименование должностей</t>
  </si>
  <si>
    <t>Образование</t>
  </si>
  <si>
    <t>Стаж</t>
  </si>
  <si>
    <t>звено, ступень</t>
  </si>
  <si>
    <t xml:space="preserve">Коэффициент </t>
  </si>
  <si>
    <t>БДО</t>
  </si>
  <si>
    <t>кол-во</t>
  </si>
  <si>
    <t>ДО</t>
  </si>
  <si>
    <t>2 өсім</t>
  </si>
  <si>
    <t>2 өсім айырмасы</t>
  </si>
  <si>
    <t>сельск</t>
  </si>
  <si>
    <t>ИТОГО зпл</t>
  </si>
  <si>
    <t xml:space="preserve">Доплата работникам, занятым на тяжелых (особо тяжелых) физических работах и работах с вредными (особо вредными) и опасными (особо опасными) условиями труда </t>
  </si>
  <si>
    <t>ночь</t>
  </si>
  <si>
    <t>празд</t>
  </si>
  <si>
    <t xml:space="preserve">10% доплата </t>
  </si>
  <si>
    <t>ВСЕГО доплаты</t>
  </si>
  <si>
    <t xml:space="preserve">ФЗП за месяц </t>
  </si>
  <si>
    <t>опв</t>
  </si>
  <si>
    <t>ипн</t>
  </si>
  <si>
    <t>осмс</t>
  </si>
  <si>
    <t>на руки</t>
  </si>
  <si>
    <t>ФЗП за год</t>
  </si>
  <si>
    <t>Пособие на оздоровл</t>
  </si>
  <si>
    <t>%</t>
  </si>
  <si>
    <t>сумма</t>
  </si>
  <si>
    <t xml:space="preserve">Елжанова Анар </t>
  </si>
  <si>
    <t>мадератор  36000</t>
  </si>
  <si>
    <t>БЛОК С (административный отдел)</t>
  </si>
  <si>
    <t>Дузелбаева Л</t>
  </si>
  <si>
    <t>бухгалтер</t>
  </si>
  <si>
    <t>С-2</t>
  </si>
  <si>
    <t>Дузелбаева Ж</t>
  </si>
  <si>
    <t>завхоз</t>
  </si>
  <si>
    <t>С-3</t>
  </si>
  <si>
    <t>БЛОК Д (вспомогательный отдел)</t>
  </si>
  <si>
    <t>Ескендірова А</t>
  </si>
  <si>
    <t>пом.воспитателя</t>
  </si>
  <si>
    <t>0-1 лет</t>
  </si>
  <si>
    <t>Д-1</t>
  </si>
  <si>
    <t>Зулкашова М</t>
  </si>
  <si>
    <t>рабочие</t>
  </si>
  <si>
    <t>Чуйшбаев Р</t>
  </si>
  <si>
    <t>дворник</t>
  </si>
  <si>
    <t>2разряд</t>
  </si>
  <si>
    <t>Кумашева У</t>
  </si>
  <si>
    <t>уборщица</t>
  </si>
  <si>
    <t>Турмакова Д</t>
  </si>
  <si>
    <t>прачка</t>
  </si>
  <si>
    <t>кастилянша</t>
  </si>
  <si>
    <t>вакант</t>
  </si>
  <si>
    <t>Матшанова</t>
  </si>
  <si>
    <t>повар</t>
  </si>
  <si>
    <t>6разряд</t>
  </si>
  <si>
    <t>кух рабочий</t>
  </si>
  <si>
    <t>Кобланов Б</t>
  </si>
  <si>
    <t>сторож</t>
  </si>
  <si>
    <t>Сулеменов А</t>
  </si>
  <si>
    <t>Утесенов И</t>
  </si>
  <si>
    <t>раб. здания</t>
  </si>
  <si>
    <t>Абдуллаев Н</t>
  </si>
  <si>
    <t>котельщик</t>
  </si>
  <si>
    <t>Ровшанов О</t>
  </si>
  <si>
    <t>2 разряд</t>
  </si>
  <si>
    <t>Елеустнов А</t>
  </si>
  <si>
    <t>Кайнаров К</t>
  </si>
  <si>
    <t>Электрик</t>
  </si>
  <si>
    <t>Сантехник</t>
  </si>
  <si>
    <t>ВСЕГО</t>
  </si>
  <si>
    <t>ц,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</si>
</sst>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8"/>
      <color theme="1"/>
      <name val="Times New Roman"/>
      <family val="1"/>
      <charset val="204"/>
    </font>
    <font>
      <sz val="10"/>
      <name val="Calibri"/>
      <family val="2"/>
      <charset val="204"/>
    </font>
    <font>
      <b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0" tint="-0.1499984740745262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4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5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4" fontId="3" fillId="4" borderId="1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9" fontId="3" fillId="4" borderId="1" xfId="1" applyNumberFormat="1" applyFont="1" applyFill="1" applyBorder="1" applyAlignment="1">
      <alignment horizontal="center" vertical="center" wrapText="1"/>
    </xf>
    <xf numFmtId="4" fontId="3" fillId="4" borderId="1" xfId="1" applyNumberFormat="1" applyFont="1" applyFill="1" applyBorder="1" applyAlignment="1">
      <alignment horizontal="center" vertical="center"/>
    </xf>
    <xf numFmtId="2" fontId="3" fillId="6" borderId="1" xfId="1" applyNumberFormat="1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3" xfId="1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center" vertical="center" wrapText="1"/>
    </xf>
    <xf numFmtId="2" fontId="3" fillId="4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2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3" fillId="7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horizontal="center" vertical="center" wrapText="1"/>
    </xf>
    <xf numFmtId="9" fontId="5" fillId="4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6" borderId="4" xfId="1" applyNumberFormat="1" applyFont="1" applyFill="1" applyBorder="1" applyAlignment="1">
      <alignment horizontal="center" vertical="center" wrapText="1"/>
    </xf>
    <xf numFmtId="164" fontId="3" fillId="6" borderId="4" xfId="1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4" fontId="3" fillId="4" borderId="4" xfId="1" applyNumberFormat="1" applyFont="1" applyFill="1" applyBorder="1" applyAlignment="1">
      <alignment horizontal="center" vertical="center" wrapText="1"/>
    </xf>
    <xf numFmtId="3" fontId="3" fillId="6" borderId="4" xfId="1" applyNumberFormat="1" applyFont="1" applyFill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 wrapText="1"/>
    </xf>
    <xf numFmtId="9" fontId="3" fillId="6" borderId="4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 wrapText="1"/>
    </xf>
    <xf numFmtId="4" fontId="3" fillId="4" borderId="4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9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4" fontId="3" fillId="6" borderId="1" xfId="1" applyNumberFormat="1" applyFont="1" applyFill="1" applyBorder="1" applyAlignment="1">
      <alignment horizontal="center" vertical="center" wrapText="1"/>
    </xf>
    <xf numFmtId="164" fontId="3" fillId="7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4" fontId="2" fillId="4" borderId="5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4" fontId="2" fillId="5" borderId="5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4" fontId="2" fillId="4" borderId="4" xfId="1" applyNumberFormat="1" applyFont="1" applyFill="1" applyBorder="1" applyAlignment="1">
      <alignment horizontal="center" vertical="center" wrapText="1"/>
    </xf>
    <xf numFmtId="4" fontId="2" fillId="5" borderId="4" xfId="1" applyNumberFormat="1" applyFont="1" applyFill="1" applyBorder="1" applyAlignment="1">
      <alignment horizontal="center" vertical="center" wrapText="1"/>
    </xf>
    <xf numFmtId="9" fontId="10" fillId="4" borderId="1" xfId="1" applyNumberFormat="1" applyFont="1" applyFill="1" applyBorder="1" applyAlignment="1">
      <alignment horizontal="left" vertical="top" wrapText="1"/>
    </xf>
    <xf numFmtId="4" fontId="2" fillId="3" borderId="2" xfId="1" applyNumberFormat="1" applyFont="1" applyFill="1" applyBorder="1" applyAlignment="1">
      <alignment horizontal="center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4" fontId="3" fillId="4" borderId="1" xfId="1" applyNumberFormat="1" applyFont="1" applyFill="1" applyBorder="1" applyAlignment="1">
      <alignment horizontal="center" vertical="top"/>
    </xf>
    <xf numFmtId="0" fontId="12" fillId="4" borderId="1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top"/>
    </xf>
    <xf numFmtId="164" fontId="3" fillId="4" borderId="1" xfId="1" applyNumberFormat="1" applyFont="1" applyFill="1" applyBorder="1" applyAlignment="1">
      <alignment horizontal="center" vertical="top"/>
    </xf>
    <xf numFmtId="3" fontId="3" fillId="6" borderId="1" xfId="1" applyNumberFormat="1" applyFont="1" applyFill="1" applyBorder="1" applyAlignment="1">
      <alignment horizontal="center" vertical="center" wrapText="1"/>
    </xf>
    <xf numFmtId="164" fontId="3" fillId="6" borderId="1" xfId="1" applyNumberFormat="1" applyFont="1" applyFill="1" applyBorder="1" applyAlignment="1">
      <alignment horizontal="center" vertical="center" wrapText="1"/>
    </xf>
    <xf numFmtId="9" fontId="3" fillId="6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top"/>
    </xf>
    <xf numFmtId="4" fontId="5" fillId="4" borderId="1" xfId="1" applyNumberFormat="1" applyFont="1" applyFill="1" applyBorder="1" applyAlignment="1">
      <alignment horizontal="center" vertical="top"/>
    </xf>
    <xf numFmtId="4" fontId="13" fillId="3" borderId="1" xfId="1" applyNumberFormat="1" applyFont="1" applyFill="1" applyBorder="1" applyAlignment="1">
      <alignment horizontal="center" vertical="center"/>
    </xf>
    <xf numFmtId="4" fontId="13" fillId="3" borderId="1" xfId="1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164" fontId="13" fillId="3" borderId="1" xfId="1" applyNumberFormat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4" fontId="13" fillId="4" borderId="1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 vertical="center" wrapText="1"/>
    </xf>
    <xf numFmtId="4" fontId="13" fillId="5" borderId="1" xfId="1" applyNumberFormat="1" applyFont="1" applyFill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horizontal="center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Штатка на 01.09.14" xfId="1" xr:uid="{D6B30F59-187C-4376-AC0E-CF064E1F77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4"/>
  <sheetViews>
    <sheetView tabSelected="1" view="pageBreakPreview" topLeftCell="B15" zoomScale="60" zoomScaleNormal="73" workbookViewId="0">
      <selection activeCell="Z54" sqref="Z54"/>
    </sheetView>
  </sheetViews>
  <sheetFormatPr defaultRowHeight="14.4" x14ac:dyDescent="0.3"/>
  <cols>
    <col min="1" max="1" width="3.44140625" customWidth="1"/>
    <col min="2" max="2" width="16.6640625" customWidth="1"/>
    <col min="3" max="3" width="13.88671875" customWidth="1"/>
    <col min="4" max="4" width="9.6640625" customWidth="1"/>
    <col min="7" max="7" width="10.33203125" customWidth="1"/>
    <col min="9" max="9" width="11.33203125" customWidth="1"/>
    <col min="10" max="10" width="11.6640625" customWidth="1"/>
    <col min="11" max="11" width="12" customWidth="1"/>
    <col min="13" max="13" width="12.6640625" customWidth="1"/>
    <col min="14" max="14" width="19.33203125" customWidth="1"/>
    <col min="18" max="18" width="11.44140625" customWidth="1"/>
    <col min="19" max="19" width="10.6640625" customWidth="1"/>
    <col min="20" max="20" width="11.44140625" customWidth="1"/>
    <col min="21" max="21" width="10.88671875" customWidth="1"/>
    <col min="22" max="22" width="11.21875" customWidth="1"/>
    <col min="24" max="24" width="10.88671875" customWidth="1"/>
    <col min="25" max="25" width="11.33203125" bestFit="1" customWidth="1"/>
    <col min="26" max="26" width="10.6640625" customWidth="1"/>
    <col min="27" max="27" width="12.33203125" customWidth="1"/>
  </cols>
  <sheetData>
    <row r="1" spans="1:27" ht="27.6" customHeight="1" x14ac:dyDescent="0.3">
      <c r="A1" s="104" t="s">
        <v>40</v>
      </c>
      <c r="B1" s="96" t="s">
        <v>41</v>
      </c>
      <c r="C1" s="96" t="s">
        <v>42</v>
      </c>
      <c r="D1" s="96" t="s">
        <v>43</v>
      </c>
      <c r="E1" s="96" t="s">
        <v>44</v>
      </c>
      <c r="F1" s="100" t="s">
        <v>45</v>
      </c>
      <c r="G1" s="100" t="s">
        <v>46</v>
      </c>
      <c r="H1" s="96" t="s">
        <v>47</v>
      </c>
      <c r="I1" s="61" t="s">
        <v>48</v>
      </c>
      <c r="J1" s="62" t="s">
        <v>49</v>
      </c>
      <c r="K1" s="63" t="s">
        <v>50</v>
      </c>
      <c r="L1" s="61" t="s">
        <v>51</v>
      </c>
      <c r="M1" s="61" t="s">
        <v>52</v>
      </c>
      <c r="N1" s="96" t="s">
        <v>53</v>
      </c>
      <c r="O1" s="102" t="s">
        <v>54</v>
      </c>
      <c r="P1" s="103"/>
      <c r="Q1" s="64" t="s">
        <v>55</v>
      </c>
      <c r="R1" s="64" t="s">
        <v>56</v>
      </c>
      <c r="S1" s="4" t="s">
        <v>57</v>
      </c>
      <c r="T1" s="96" t="s">
        <v>58</v>
      </c>
      <c r="U1" s="96" t="s">
        <v>59</v>
      </c>
      <c r="V1" s="61" t="s">
        <v>60</v>
      </c>
      <c r="W1" s="61" t="s">
        <v>61</v>
      </c>
      <c r="X1" s="61" t="s">
        <v>62</v>
      </c>
      <c r="Y1" s="65" t="s">
        <v>63</v>
      </c>
      <c r="Z1" s="96" t="s">
        <v>64</v>
      </c>
      <c r="AA1" s="96" t="s">
        <v>65</v>
      </c>
    </row>
    <row r="2" spans="1:27" x14ac:dyDescent="0.3">
      <c r="A2" s="105"/>
      <c r="B2" s="97"/>
      <c r="C2" s="97"/>
      <c r="D2" s="97"/>
      <c r="E2" s="97"/>
      <c r="F2" s="101"/>
      <c r="G2" s="101"/>
      <c r="H2" s="97"/>
      <c r="I2" s="41"/>
      <c r="J2" s="66"/>
      <c r="K2" s="67"/>
      <c r="L2" s="41"/>
      <c r="M2" s="41"/>
      <c r="N2" s="97"/>
      <c r="O2" s="4" t="s">
        <v>66</v>
      </c>
      <c r="P2" s="4" t="s">
        <v>67</v>
      </c>
      <c r="Q2" s="4"/>
      <c r="R2" s="4"/>
      <c r="S2" s="4" t="s">
        <v>67</v>
      </c>
      <c r="T2" s="97"/>
      <c r="U2" s="97"/>
      <c r="V2" s="41"/>
      <c r="W2" s="41"/>
      <c r="X2" s="41"/>
      <c r="Y2" s="68"/>
      <c r="Z2" s="97"/>
      <c r="AA2" s="97"/>
    </row>
    <row r="3" spans="1:27" ht="14.4" customHeight="1" x14ac:dyDescent="0.3">
      <c r="A3" s="1"/>
      <c r="B3" s="98" t="s">
        <v>0</v>
      </c>
      <c r="C3" s="99"/>
      <c r="D3" s="2"/>
      <c r="E3" s="2"/>
      <c r="F3" s="2"/>
      <c r="G3" s="2">
        <f t="shared" ref="G3:AA3" si="0">G4</f>
        <v>4.8600000000000003</v>
      </c>
      <c r="H3" s="2">
        <f t="shared" si="0"/>
        <v>17697</v>
      </c>
      <c r="I3" s="2">
        <f>SUM(I4)</f>
        <v>1</v>
      </c>
      <c r="J3" s="1">
        <f t="shared" si="0"/>
        <v>86000</v>
      </c>
      <c r="K3" s="3">
        <f>SUM(K4)</f>
        <v>223600</v>
      </c>
      <c r="L3" s="2">
        <f>SUM(K3-J3)</f>
        <v>137600</v>
      </c>
      <c r="M3" s="2">
        <f t="shared" si="0"/>
        <v>55900</v>
      </c>
      <c r="N3" s="2">
        <f t="shared" si="0"/>
        <v>279500</v>
      </c>
      <c r="O3" s="2">
        <f t="shared" si="0"/>
        <v>0</v>
      </c>
      <c r="P3" s="2">
        <f t="shared" si="0"/>
        <v>0</v>
      </c>
      <c r="Q3" s="2">
        <f t="shared" si="0"/>
        <v>0</v>
      </c>
      <c r="R3" s="2">
        <f t="shared" si="0"/>
        <v>0</v>
      </c>
      <c r="S3" s="2">
        <f t="shared" si="0"/>
        <v>27950</v>
      </c>
      <c r="T3" s="2">
        <f t="shared" si="0"/>
        <v>27950</v>
      </c>
      <c r="U3" s="4">
        <f t="shared" si="0"/>
        <v>307450</v>
      </c>
      <c r="V3" s="4">
        <f>SUM(U3*10%)</f>
        <v>30745</v>
      </c>
      <c r="W3" s="4">
        <f>SUM(U3-V3-48300-X3)*0.1</f>
        <v>22225.600000000002</v>
      </c>
      <c r="X3" s="4">
        <f>SUM(U3*2%)</f>
        <v>6149</v>
      </c>
      <c r="Y3" s="5"/>
      <c r="Z3" s="2">
        <f t="shared" si="0"/>
        <v>3689.4</v>
      </c>
      <c r="AA3" s="2">
        <f t="shared" si="0"/>
        <v>223600</v>
      </c>
    </row>
    <row r="4" spans="1:27" ht="19.8" customHeight="1" x14ac:dyDescent="0.3">
      <c r="A4" s="6">
        <v>1</v>
      </c>
      <c r="B4" s="6" t="s">
        <v>1</v>
      </c>
      <c r="C4" s="7" t="s">
        <v>2</v>
      </c>
      <c r="D4" s="7" t="s">
        <v>3</v>
      </c>
      <c r="E4" s="8" t="s">
        <v>4</v>
      </c>
      <c r="F4" s="7" t="s">
        <v>5</v>
      </c>
      <c r="G4" s="7">
        <v>4.8600000000000003</v>
      </c>
      <c r="H4" s="8">
        <v>17697</v>
      </c>
      <c r="I4" s="7">
        <v>1</v>
      </c>
      <c r="J4" s="6">
        <v>86000</v>
      </c>
      <c r="K4" s="7">
        <v>223600</v>
      </c>
      <c r="L4" s="3">
        <f t="shared" ref="L4:L20" si="1">SUM(K4-J4)</f>
        <v>137600</v>
      </c>
      <c r="M4" s="7">
        <f>K4*25%</f>
        <v>55900</v>
      </c>
      <c r="N4" s="7">
        <f>K4+M4</f>
        <v>279500</v>
      </c>
      <c r="O4" s="9"/>
      <c r="P4" s="7"/>
      <c r="Q4" s="8"/>
      <c r="R4" s="8"/>
      <c r="S4" s="7">
        <f>SUM(N4*10%)</f>
        <v>27950</v>
      </c>
      <c r="T4" s="7">
        <f>SUM(S4)</f>
        <v>27950</v>
      </c>
      <c r="U4" s="7">
        <f>N4+T4</f>
        <v>307450</v>
      </c>
      <c r="V4" s="3"/>
      <c r="W4" s="3"/>
      <c r="X4" s="3"/>
      <c r="Y4" s="3">
        <v>243600</v>
      </c>
      <c r="Z4" s="7">
        <f>U4*12/1000</f>
        <v>3689.4</v>
      </c>
      <c r="AA4" s="10">
        <f>SUM(K4)</f>
        <v>223600</v>
      </c>
    </row>
    <row r="5" spans="1:27" ht="0.6" customHeight="1" x14ac:dyDescent="0.3">
      <c r="A5" s="11"/>
      <c r="B5" s="12">
        <f>COUNT(#REF!)</f>
        <v>0</v>
      </c>
      <c r="C5" s="13">
        <f>COUNT(#REF!)</f>
        <v>0</v>
      </c>
      <c r="D5" s="14">
        <f>COUNT(#REF!)</f>
        <v>0</v>
      </c>
      <c r="E5" s="14">
        <f t="shared" ref="E5" si="2">COUNT(#REF!)</f>
        <v>0</v>
      </c>
      <c r="F5" s="14">
        <f t="shared" ref="F5" si="3">COUNT(#REF!)</f>
        <v>0</v>
      </c>
      <c r="G5" s="14">
        <f t="shared" ref="G5" si="4">COUNT(#REF!)</f>
        <v>0</v>
      </c>
      <c r="H5" s="14">
        <f t="shared" ref="H5" si="5">COUNT(#REF!)</f>
        <v>0</v>
      </c>
      <c r="I5" s="14">
        <f t="shared" ref="I5" si="6">COUNT(#REF!)</f>
        <v>0</v>
      </c>
      <c r="J5" s="14">
        <f t="shared" ref="J5" si="7">COUNT(#REF!)</f>
        <v>0</v>
      </c>
      <c r="K5" s="15">
        <f t="shared" ref="K5" si="8">COUNT(#REF!)</f>
        <v>0</v>
      </c>
      <c r="L5" s="14">
        <f t="shared" ref="L5" si="9">COUNT(#REF!)</f>
        <v>0</v>
      </c>
      <c r="M5" s="14">
        <f t="shared" ref="M5" si="10">COUNT(#REF!)</f>
        <v>0</v>
      </c>
      <c r="N5" s="14">
        <f t="shared" ref="N5" si="11">COUNT(#REF!)</f>
        <v>0</v>
      </c>
      <c r="O5" s="14">
        <f t="shared" ref="O5" si="12">COUNT(#REF!)</f>
        <v>0</v>
      </c>
      <c r="P5" s="14">
        <f t="shared" ref="P5" si="13">COUNT(#REF!)</f>
        <v>0</v>
      </c>
      <c r="Q5" s="14">
        <f t="shared" ref="Q5" si="14">COUNT(#REF!)</f>
        <v>0</v>
      </c>
      <c r="R5" s="14">
        <f t="shared" ref="R5" si="15">COUNT(#REF!)</f>
        <v>0</v>
      </c>
      <c r="S5" s="16">
        <f t="shared" ref="S5" si="16">COUNT(#REF!)</f>
        <v>0</v>
      </c>
      <c r="T5" s="14">
        <f t="shared" ref="T5" si="17">COUNT(#REF!)</f>
        <v>0</v>
      </c>
      <c r="U5" s="17">
        <f t="shared" ref="U5" si="18">COUNT(#REF!)</f>
        <v>0</v>
      </c>
      <c r="V5" s="4">
        <f t="shared" ref="V5:V20" si="19">SUM(U5*10%)</f>
        <v>0</v>
      </c>
      <c r="W5" s="4"/>
      <c r="X5" s="4">
        <f t="shared" ref="X5:X20" si="20">SUM(U5*2%)</f>
        <v>0</v>
      </c>
      <c r="Y5" s="5">
        <f t="shared" ref="Y5:Y20" si="21">SUM(U5-V5-W5-X5)</f>
        <v>0</v>
      </c>
      <c r="Z5" s="14">
        <f>COUNT(#REF!)</f>
        <v>0</v>
      </c>
      <c r="AA5" s="18">
        <f>COUNT(#REF!)</f>
        <v>0</v>
      </c>
    </row>
    <row r="6" spans="1:27" ht="16.2" customHeight="1" x14ac:dyDescent="0.3">
      <c r="A6" s="6">
        <v>2</v>
      </c>
      <c r="B6" s="6" t="s">
        <v>6</v>
      </c>
      <c r="C6" s="19" t="s">
        <v>13</v>
      </c>
      <c r="D6" s="7" t="s">
        <v>8</v>
      </c>
      <c r="E6" s="20" t="s">
        <v>9</v>
      </c>
      <c r="F6" s="21" t="s">
        <v>10</v>
      </c>
      <c r="G6" s="7">
        <v>4.07</v>
      </c>
      <c r="H6" s="8">
        <v>17697</v>
      </c>
      <c r="I6" s="7">
        <v>0.5</v>
      </c>
      <c r="J6" s="6">
        <f t="shared" ref="J6:J20" si="22">H6*G6*I6</f>
        <v>36013.395000000004</v>
      </c>
      <c r="K6" s="7">
        <v>90000</v>
      </c>
      <c r="L6" s="3">
        <f t="shared" si="1"/>
        <v>53986.604999999996</v>
      </c>
      <c r="M6" s="7">
        <f>K6*25%</f>
        <v>22500</v>
      </c>
      <c r="N6" s="7">
        <f>K6+M6</f>
        <v>112500</v>
      </c>
      <c r="O6" s="9"/>
      <c r="P6" s="7"/>
      <c r="Q6" s="8"/>
      <c r="R6" s="8"/>
      <c r="S6" s="7">
        <f t="shared" ref="S6:S20" si="23">SUM(N6*10%)</f>
        <v>11250</v>
      </c>
      <c r="T6" s="7">
        <f>SUM(S6)</f>
        <v>11250</v>
      </c>
      <c r="U6" s="7">
        <f>N6+T6</f>
        <v>123750</v>
      </c>
      <c r="V6" s="3">
        <f t="shared" si="19"/>
        <v>12375</v>
      </c>
      <c r="W6" s="3">
        <f t="shared" ref="W6:W20" si="24">SUM(U6-V6-48300-X6)*0.1</f>
        <v>6060</v>
      </c>
      <c r="X6" s="3">
        <f t="shared" si="20"/>
        <v>2475</v>
      </c>
      <c r="Y6" s="3">
        <f t="shared" si="21"/>
        <v>102840</v>
      </c>
      <c r="Z6" s="7">
        <f>U6*12/1000</f>
        <v>1485</v>
      </c>
      <c r="AA6" s="10">
        <f t="shared" ref="AA6:AA20" si="25">SUM(K6)</f>
        <v>90000</v>
      </c>
    </row>
    <row r="7" spans="1:27" ht="30.6" hidden="1" customHeight="1" x14ac:dyDescent="0.3">
      <c r="A7" s="6">
        <v>3</v>
      </c>
      <c r="B7" s="6" t="s">
        <v>11</v>
      </c>
      <c r="C7" s="19" t="s">
        <v>7</v>
      </c>
      <c r="D7" s="7" t="s">
        <v>8</v>
      </c>
      <c r="E7" s="20" t="s">
        <v>9</v>
      </c>
      <c r="F7" s="21" t="s">
        <v>12</v>
      </c>
      <c r="G7" s="7">
        <v>3.78</v>
      </c>
      <c r="H7" s="8">
        <v>17697</v>
      </c>
      <c r="I7" s="7">
        <v>0.5</v>
      </c>
      <c r="J7" s="6">
        <f t="shared" si="22"/>
        <v>33447.33</v>
      </c>
      <c r="K7" s="22">
        <f t="shared" ref="K7:K20" si="26">SUM(J7*2)</f>
        <v>66894.66</v>
      </c>
      <c r="L7" s="3">
        <f t="shared" si="1"/>
        <v>33447.33</v>
      </c>
      <c r="M7" s="7">
        <f>K7*25%</f>
        <v>16723.665000000001</v>
      </c>
      <c r="N7" s="7">
        <f>K7+M7</f>
        <v>83618.325000000012</v>
      </c>
      <c r="O7" s="9"/>
      <c r="P7" s="7"/>
      <c r="Q7" s="8"/>
      <c r="R7" s="8"/>
      <c r="S7" s="7">
        <f t="shared" si="23"/>
        <v>8361.8325000000023</v>
      </c>
      <c r="T7" s="7">
        <f>SUM(S7)+P7</f>
        <v>8361.8325000000023</v>
      </c>
      <c r="U7" s="23">
        <f>N7+T7</f>
        <v>91980.157500000016</v>
      </c>
      <c r="V7" s="4">
        <f t="shared" si="19"/>
        <v>9198.0157500000023</v>
      </c>
      <c r="W7" s="4">
        <f t="shared" si="24"/>
        <v>3264.2538600000012</v>
      </c>
      <c r="X7" s="4">
        <f t="shared" si="20"/>
        <v>1839.6031500000004</v>
      </c>
      <c r="Y7" s="5">
        <f t="shared" si="21"/>
        <v>77678.284740000017</v>
      </c>
      <c r="Z7" s="7">
        <f>U7*12/1000</f>
        <v>1103.7618900000002</v>
      </c>
      <c r="AA7" s="10">
        <f t="shared" si="25"/>
        <v>66894.66</v>
      </c>
    </row>
    <row r="8" spans="1:27" ht="27.6" customHeight="1" x14ac:dyDescent="0.3">
      <c r="A8" s="24">
        <v>4</v>
      </c>
      <c r="B8" s="24" t="s">
        <v>6</v>
      </c>
      <c r="C8" s="19" t="s">
        <v>7</v>
      </c>
      <c r="D8" s="26" t="s">
        <v>8</v>
      </c>
      <c r="E8" s="27" t="s">
        <v>9</v>
      </c>
      <c r="F8" s="28" t="s">
        <v>14</v>
      </c>
      <c r="G8" s="26">
        <v>4.07</v>
      </c>
      <c r="H8" s="29">
        <v>17697</v>
      </c>
      <c r="I8" s="26">
        <v>0.5</v>
      </c>
      <c r="J8" s="24">
        <f t="shared" si="22"/>
        <v>36013.395000000004</v>
      </c>
      <c r="K8" s="22">
        <v>117000</v>
      </c>
      <c r="L8" s="30">
        <f t="shared" si="1"/>
        <v>80986.604999999996</v>
      </c>
      <c r="M8" s="26">
        <f t="shared" ref="M8:M20" si="27">K8*25%</f>
        <v>29250</v>
      </c>
      <c r="N8" s="26">
        <f t="shared" ref="N8:N20" si="28">K8+M8</f>
        <v>146250</v>
      </c>
      <c r="O8" s="69" t="s">
        <v>69</v>
      </c>
      <c r="P8" s="26"/>
      <c r="Q8" s="29"/>
      <c r="R8" s="29"/>
      <c r="S8" s="26">
        <f t="shared" si="23"/>
        <v>14625</v>
      </c>
      <c r="T8" s="26">
        <f t="shared" ref="T8:T20" si="29">SUM(S8)</f>
        <v>14625</v>
      </c>
      <c r="U8" s="32">
        <f>N8+T8</f>
        <v>160875</v>
      </c>
      <c r="V8" s="4">
        <f t="shared" si="19"/>
        <v>16087.5</v>
      </c>
      <c r="W8" s="4">
        <f t="shared" si="24"/>
        <v>9327</v>
      </c>
      <c r="X8" s="4">
        <f t="shared" si="20"/>
        <v>3217.5</v>
      </c>
      <c r="Y8" s="5">
        <f t="shared" si="21"/>
        <v>132243</v>
      </c>
      <c r="Z8" s="26">
        <f>U8*12/1000</f>
        <v>1930.5</v>
      </c>
      <c r="AA8" s="33">
        <v>108000</v>
      </c>
    </row>
    <row r="9" spans="1:27" ht="18.600000000000001" hidden="1" customHeight="1" x14ac:dyDescent="0.3">
      <c r="A9" s="34"/>
      <c r="B9" s="34"/>
      <c r="C9" s="35"/>
      <c r="D9" s="36"/>
      <c r="E9" s="37">
        <v>5</v>
      </c>
      <c r="F9" s="38"/>
      <c r="G9" s="39">
        <v>4.07</v>
      </c>
      <c r="H9" s="40">
        <v>17697</v>
      </c>
      <c r="I9" s="36">
        <v>0.5</v>
      </c>
      <c r="J9" s="34">
        <f>H9*G9*I9</f>
        <v>36013.395000000004</v>
      </c>
      <c r="K9" s="22">
        <f t="shared" si="26"/>
        <v>72026.790000000008</v>
      </c>
      <c r="L9" s="41">
        <f>SUM(K9-J9)</f>
        <v>36013.395000000004</v>
      </c>
      <c r="M9" s="36">
        <f>K9*25%</f>
        <v>18006.697500000002</v>
      </c>
      <c r="N9" s="36">
        <f>K9+M9</f>
        <v>90033.487500000017</v>
      </c>
      <c r="O9" s="42"/>
      <c r="P9" s="36"/>
      <c r="Q9" s="40"/>
      <c r="R9" s="40"/>
      <c r="S9" s="39"/>
      <c r="T9" s="39"/>
      <c r="U9" s="43"/>
      <c r="V9" s="4">
        <f t="shared" si="19"/>
        <v>0</v>
      </c>
      <c r="W9" s="4">
        <f t="shared" si="24"/>
        <v>-4830</v>
      </c>
      <c r="X9" s="4">
        <f t="shared" si="20"/>
        <v>0</v>
      </c>
      <c r="Y9" s="5">
        <f t="shared" si="21"/>
        <v>4830</v>
      </c>
      <c r="Z9" s="36"/>
      <c r="AA9" s="44"/>
    </row>
    <row r="10" spans="1:27" ht="20.399999999999999" hidden="1" customHeight="1" x14ac:dyDescent="0.3">
      <c r="A10" s="6">
        <v>5</v>
      </c>
      <c r="B10" s="6" t="s">
        <v>15</v>
      </c>
      <c r="C10" s="19" t="s">
        <v>16</v>
      </c>
      <c r="D10" s="7" t="s">
        <v>8</v>
      </c>
      <c r="E10" s="20" t="s">
        <v>17</v>
      </c>
      <c r="F10" s="21" t="s">
        <v>18</v>
      </c>
      <c r="G10" s="7">
        <v>4.49</v>
      </c>
      <c r="H10" s="8">
        <v>17697</v>
      </c>
      <c r="I10" s="7">
        <v>0.5</v>
      </c>
      <c r="J10" s="6">
        <f t="shared" si="22"/>
        <v>39729.764999999999</v>
      </c>
      <c r="K10" s="22">
        <f t="shared" si="26"/>
        <v>79459.53</v>
      </c>
      <c r="L10" s="3">
        <f t="shared" si="1"/>
        <v>39729.764999999999</v>
      </c>
      <c r="M10" s="7">
        <f t="shared" si="27"/>
        <v>19864.8825</v>
      </c>
      <c r="N10" s="7">
        <f t="shared" si="28"/>
        <v>99324.412500000006</v>
      </c>
      <c r="O10" s="9"/>
      <c r="P10" s="7"/>
      <c r="Q10" s="8"/>
      <c r="R10" s="8"/>
      <c r="S10" s="7">
        <f t="shared" si="23"/>
        <v>9932.4412500000017</v>
      </c>
      <c r="T10" s="7">
        <f t="shared" si="29"/>
        <v>9932.4412500000017</v>
      </c>
      <c r="U10" s="23">
        <f t="shared" ref="U10:U20" si="30">N10+T10</f>
        <v>109256.85375000001</v>
      </c>
      <c r="V10" s="4">
        <f t="shared" si="19"/>
        <v>10925.685375000001</v>
      </c>
      <c r="W10" s="4">
        <f t="shared" si="24"/>
        <v>4784.6031300000013</v>
      </c>
      <c r="X10" s="4">
        <f t="shared" si="20"/>
        <v>2185.1370750000001</v>
      </c>
      <c r="Y10" s="5">
        <f t="shared" si="21"/>
        <v>91361.428169999999</v>
      </c>
      <c r="Z10" s="7">
        <f>U10*12/1000</f>
        <v>1311.0822450000001</v>
      </c>
      <c r="AA10" s="10">
        <f t="shared" si="25"/>
        <v>79459.53</v>
      </c>
    </row>
    <row r="11" spans="1:27" ht="21.6" customHeight="1" x14ac:dyDescent="0.3">
      <c r="A11" s="6">
        <v>6</v>
      </c>
      <c r="B11" s="6" t="s">
        <v>19</v>
      </c>
      <c r="C11" s="19" t="s">
        <v>20</v>
      </c>
      <c r="D11" s="7" t="s">
        <v>8</v>
      </c>
      <c r="E11" s="20" t="s">
        <v>21</v>
      </c>
      <c r="F11" s="45" t="s">
        <v>22</v>
      </c>
      <c r="G11" s="7">
        <v>4.59</v>
      </c>
      <c r="H11" s="8">
        <v>17697</v>
      </c>
      <c r="I11" s="46">
        <v>0.5</v>
      </c>
      <c r="J11" s="6">
        <f>H11*G11*I11</f>
        <v>40614.614999999998</v>
      </c>
      <c r="K11" s="7">
        <f t="shared" si="26"/>
        <v>81229.23</v>
      </c>
      <c r="L11" s="3">
        <f>SUM(K11-J11)</f>
        <v>40614.614999999998</v>
      </c>
      <c r="M11" s="7">
        <f t="shared" si="27"/>
        <v>20307.307499999999</v>
      </c>
      <c r="N11" s="7">
        <f t="shared" si="28"/>
        <v>101536.53749999999</v>
      </c>
      <c r="O11" s="9"/>
      <c r="P11" s="7"/>
      <c r="Q11" s="8"/>
      <c r="R11" s="8"/>
      <c r="S11" s="7">
        <f t="shared" si="23"/>
        <v>10153.653749999999</v>
      </c>
      <c r="T11" s="7">
        <f t="shared" si="29"/>
        <v>10153.653749999999</v>
      </c>
      <c r="U11" s="7">
        <f t="shared" si="30"/>
        <v>111690.19124999999</v>
      </c>
      <c r="V11" s="3">
        <f t="shared" si="19"/>
        <v>11169.019124999999</v>
      </c>
      <c r="W11" s="3">
        <f t="shared" si="24"/>
        <v>4998.736829999998</v>
      </c>
      <c r="X11" s="3">
        <f t="shared" si="20"/>
        <v>2233.803825</v>
      </c>
      <c r="Y11" s="3">
        <f t="shared" si="21"/>
        <v>93288.631469999993</v>
      </c>
      <c r="Z11" s="7">
        <f>U11*12/1000</f>
        <v>1340.282295</v>
      </c>
      <c r="AA11" s="10">
        <f t="shared" si="25"/>
        <v>81229.23</v>
      </c>
    </row>
    <row r="12" spans="1:27" ht="19.8" hidden="1" customHeight="1" x14ac:dyDescent="0.3">
      <c r="A12" s="47"/>
      <c r="B12" s="47"/>
      <c r="C12" s="48"/>
      <c r="D12" s="7" t="s">
        <v>8</v>
      </c>
      <c r="E12" s="49"/>
      <c r="F12" s="50" t="s">
        <v>12</v>
      </c>
      <c r="G12" s="23">
        <v>3.94</v>
      </c>
      <c r="H12" s="51">
        <v>17697</v>
      </c>
      <c r="I12" s="52"/>
      <c r="J12" s="47">
        <f>H12*G12*I12</f>
        <v>0</v>
      </c>
      <c r="K12" s="22">
        <f t="shared" si="26"/>
        <v>0</v>
      </c>
      <c r="L12" s="4">
        <f>SUM(K12-J12)</f>
        <v>0</v>
      </c>
      <c r="M12" s="23">
        <f>K12*25%</f>
        <v>0</v>
      </c>
      <c r="N12" s="23">
        <f>K12+M12</f>
        <v>0</v>
      </c>
      <c r="O12" s="53"/>
      <c r="P12" s="23"/>
      <c r="Q12" s="51"/>
      <c r="R12" s="51"/>
      <c r="S12" s="23"/>
      <c r="T12" s="23"/>
      <c r="U12" s="23"/>
      <c r="V12" s="4">
        <f t="shared" si="19"/>
        <v>0</v>
      </c>
      <c r="W12" s="4">
        <f t="shared" si="24"/>
        <v>-4830</v>
      </c>
      <c r="X12" s="4">
        <f t="shared" si="20"/>
        <v>0</v>
      </c>
      <c r="Y12" s="5">
        <f t="shared" si="21"/>
        <v>4830</v>
      </c>
      <c r="Z12" s="23"/>
      <c r="AA12" s="54"/>
    </row>
    <row r="13" spans="1:27" ht="24" hidden="1" customHeight="1" x14ac:dyDescent="0.3">
      <c r="A13" s="24">
        <v>7</v>
      </c>
      <c r="B13" s="24" t="s">
        <v>23</v>
      </c>
      <c r="C13" s="25" t="s">
        <v>13</v>
      </c>
      <c r="D13" s="7" t="s">
        <v>8</v>
      </c>
      <c r="E13" s="27" t="s">
        <v>24</v>
      </c>
      <c r="F13" s="28" t="s">
        <v>10</v>
      </c>
      <c r="G13" s="26">
        <v>4</v>
      </c>
      <c r="H13" s="29">
        <v>17697</v>
      </c>
      <c r="I13" s="55">
        <v>0.5</v>
      </c>
      <c r="J13" s="24">
        <f t="shared" si="22"/>
        <v>35394</v>
      </c>
      <c r="K13" s="7">
        <f t="shared" si="26"/>
        <v>70788</v>
      </c>
      <c r="L13" s="3">
        <f t="shared" si="1"/>
        <v>35394</v>
      </c>
      <c r="M13" s="26">
        <f t="shared" si="27"/>
        <v>17697</v>
      </c>
      <c r="N13" s="26">
        <f t="shared" si="28"/>
        <v>88485</v>
      </c>
      <c r="O13" s="31"/>
      <c r="P13" s="26"/>
      <c r="Q13" s="29"/>
      <c r="R13" s="29"/>
      <c r="S13" s="26">
        <f t="shared" si="23"/>
        <v>8848.5</v>
      </c>
      <c r="T13" s="26">
        <f t="shared" si="29"/>
        <v>8848.5</v>
      </c>
      <c r="U13" s="26">
        <f t="shared" si="30"/>
        <v>97333.5</v>
      </c>
      <c r="V13" s="3">
        <f t="shared" si="19"/>
        <v>9733.35</v>
      </c>
      <c r="W13" s="3">
        <f t="shared" si="24"/>
        <v>3735.348</v>
      </c>
      <c r="X13" s="3">
        <f t="shared" si="20"/>
        <v>1946.67</v>
      </c>
      <c r="Y13" s="3">
        <f t="shared" si="21"/>
        <v>81918.131999999998</v>
      </c>
      <c r="Z13" s="26">
        <f t="shared" ref="Z13:Z20" si="31">U13*12/1000</f>
        <v>1168.002</v>
      </c>
      <c r="AA13" s="33">
        <f t="shared" si="25"/>
        <v>70788</v>
      </c>
    </row>
    <row r="14" spans="1:27" ht="21" customHeight="1" x14ac:dyDescent="0.3">
      <c r="A14" s="6">
        <v>8</v>
      </c>
      <c r="B14" s="56" t="s">
        <v>25</v>
      </c>
      <c r="C14" s="19" t="s">
        <v>26</v>
      </c>
      <c r="D14" s="32" t="s">
        <v>27</v>
      </c>
      <c r="E14" s="57" t="s">
        <v>28</v>
      </c>
      <c r="F14" s="21" t="s">
        <v>29</v>
      </c>
      <c r="G14" s="7">
        <v>3.41</v>
      </c>
      <c r="H14" s="8">
        <v>17697</v>
      </c>
      <c r="I14" s="46">
        <v>1.125</v>
      </c>
      <c r="J14" s="6">
        <f t="shared" si="22"/>
        <v>67890.116250000006</v>
      </c>
      <c r="K14" s="22">
        <f t="shared" si="26"/>
        <v>135780.23250000001</v>
      </c>
      <c r="L14" s="4">
        <f t="shared" si="1"/>
        <v>67890.116250000006</v>
      </c>
      <c r="M14" s="58">
        <f t="shared" si="27"/>
        <v>33945.058125000003</v>
      </c>
      <c r="N14" s="58">
        <f t="shared" si="28"/>
        <v>169725.29062500002</v>
      </c>
      <c r="O14" s="9"/>
      <c r="P14" s="7"/>
      <c r="Q14" s="8"/>
      <c r="R14" s="8"/>
      <c r="S14" s="7">
        <f t="shared" si="23"/>
        <v>16972.529062500002</v>
      </c>
      <c r="T14" s="7">
        <f t="shared" si="29"/>
        <v>16972.529062500002</v>
      </c>
      <c r="U14" s="23">
        <f t="shared" si="30"/>
        <v>186697.81968750001</v>
      </c>
      <c r="V14" s="4">
        <f t="shared" si="19"/>
        <v>18669.781968750001</v>
      </c>
      <c r="W14" s="4">
        <f t="shared" si="24"/>
        <v>11599.408132500001</v>
      </c>
      <c r="X14" s="4">
        <f t="shared" si="20"/>
        <v>3733.9563937500002</v>
      </c>
      <c r="Y14" s="5">
        <f t="shared" si="21"/>
        <v>152694.67319249999</v>
      </c>
      <c r="Z14" s="58">
        <f t="shared" si="31"/>
        <v>2240.3738362500003</v>
      </c>
      <c r="AA14" s="10">
        <f t="shared" si="25"/>
        <v>135780.23250000001</v>
      </c>
    </row>
    <row r="15" spans="1:27" ht="23.4" customHeight="1" x14ac:dyDescent="0.3">
      <c r="A15" s="6">
        <v>9</v>
      </c>
      <c r="B15" s="6" t="s">
        <v>68</v>
      </c>
      <c r="C15" s="19" t="s">
        <v>26</v>
      </c>
      <c r="D15" s="26" t="s">
        <v>30</v>
      </c>
      <c r="E15" s="20" t="s">
        <v>31</v>
      </c>
      <c r="F15" s="21" t="s">
        <v>29</v>
      </c>
      <c r="G15" s="7">
        <v>3.41</v>
      </c>
      <c r="H15" s="8">
        <v>17697</v>
      </c>
      <c r="I15" s="46">
        <v>1.125</v>
      </c>
      <c r="J15" s="6">
        <f t="shared" si="22"/>
        <v>67890.116250000006</v>
      </c>
      <c r="K15" s="7">
        <v>178100</v>
      </c>
      <c r="L15" s="3">
        <f t="shared" si="1"/>
        <v>110209.88374999999</v>
      </c>
      <c r="M15" s="7">
        <f t="shared" si="27"/>
        <v>44525</v>
      </c>
      <c r="N15" s="7">
        <f>K15+M15</f>
        <v>222625</v>
      </c>
      <c r="O15" s="9"/>
      <c r="P15" s="7"/>
      <c r="Q15" s="8"/>
      <c r="R15" s="8"/>
      <c r="S15" s="7">
        <f t="shared" si="23"/>
        <v>22262.5</v>
      </c>
      <c r="T15" s="7">
        <f t="shared" si="29"/>
        <v>22262.5</v>
      </c>
      <c r="U15" s="7">
        <f>N15+T15</f>
        <v>244887.5</v>
      </c>
      <c r="V15" s="3">
        <f t="shared" si="19"/>
        <v>24488.75</v>
      </c>
      <c r="W15" s="3">
        <f t="shared" si="24"/>
        <v>16720.100000000002</v>
      </c>
      <c r="X15" s="3">
        <f t="shared" si="20"/>
        <v>4897.75</v>
      </c>
      <c r="Y15" s="3">
        <f t="shared" si="21"/>
        <v>198780.9</v>
      </c>
      <c r="Z15" s="7">
        <f t="shared" si="31"/>
        <v>2938.65</v>
      </c>
      <c r="AA15" s="10">
        <f t="shared" si="25"/>
        <v>178100</v>
      </c>
    </row>
    <row r="16" spans="1:27" ht="0.6" customHeight="1" x14ac:dyDescent="0.3">
      <c r="A16" s="47"/>
      <c r="B16" s="47"/>
      <c r="C16" s="48"/>
      <c r="D16" s="26" t="s">
        <v>30</v>
      </c>
      <c r="E16" s="59" t="s">
        <v>31</v>
      </c>
      <c r="F16" s="60"/>
      <c r="G16" s="23"/>
      <c r="H16" s="51"/>
      <c r="I16" s="52"/>
      <c r="J16" s="47"/>
      <c r="K16" s="22">
        <f t="shared" si="26"/>
        <v>0</v>
      </c>
      <c r="L16" s="4"/>
      <c r="M16" s="23"/>
      <c r="N16" s="23"/>
      <c r="O16" s="53"/>
      <c r="P16" s="23"/>
      <c r="Q16" s="51"/>
      <c r="R16" s="51"/>
      <c r="S16" s="23"/>
      <c r="T16" s="23"/>
      <c r="U16" s="23"/>
      <c r="V16" s="4">
        <f t="shared" si="19"/>
        <v>0</v>
      </c>
      <c r="W16" s="4">
        <f t="shared" si="24"/>
        <v>-4830</v>
      </c>
      <c r="X16" s="4">
        <f t="shared" si="20"/>
        <v>0</v>
      </c>
      <c r="Y16" s="5">
        <f t="shared" si="21"/>
        <v>4830</v>
      </c>
      <c r="Z16" s="23"/>
      <c r="AA16" s="54"/>
    </row>
    <row r="17" spans="1:27" ht="26.4" customHeight="1" x14ac:dyDescent="0.3">
      <c r="A17" s="6">
        <v>11</v>
      </c>
      <c r="B17" s="6" t="s">
        <v>32</v>
      </c>
      <c r="C17" s="19" t="s">
        <v>26</v>
      </c>
      <c r="D17" s="26" t="s">
        <v>30</v>
      </c>
      <c r="E17" s="20" t="s">
        <v>24</v>
      </c>
      <c r="F17" s="21" t="s">
        <v>29</v>
      </c>
      <c r="G17" s="7">
        <v>3.45</v>
      </c>
      <c r="H17" s="8">
        <v>17697</v>
      </c>
      <c r="I17" s="46">
        <v>1.125</v>
      </c>
      <c r="J17" s="6">
        <f>H17*G17*I17</f>
        <v>68686.481249999997</v>
      </c>
      <c r="K17" s="7">
        <v>178100</v>
      </c>
      <c r="L17" s="3">
        <f>SUM(K17-J17)</f>
        <v>109413.51875</v>
      </c>
      <c r="M17" s="7">
        <f>K17*25%</f>
        <v>44525</v>
      </c>
      <c r="N17" s="7">
        <f>K17+M17</f>
        <v>222625</v>
      </c>
      <c r="O17" s="9"/>
      <c r="P17" s="7"/>
      <c r="Q17" s="8"/>
      <c r="R17" s="8"/>
      <c r="S17" s="7">
        <f>SUM(N17*10%)</f>
        <v>22262.5</v>
      </c>
      <c r="T17" s="7">
        <f>SUM(S17)</f>
        <v>22262.5</v>
      </c>
      <c r="U17" s="7">
        <f>N17+T17</f>
        <v>244887.5</v>
      </c>
      <c r="V17" s="3">
        <f t="shared" si="19"/>
        <v>24488.75</v>
      </c>
      <c r="W17" s="3">
        <f>SUM(U17-V17-48300-X17)*0.1</f>
        <v>16720.100000000002</v>
      </c>
      <c r="X17" s="3">
        <f>SUM(U17*2%)</f>
        <v>4897.75</v>
      </c>
      <c r="Y17" s="3">
        <f>SUM(U17-V17-W17-X17)</f>
        <v>198780.9</v>
      </c>
      <c r="Z17" s="7">
        <f>U17*12/1000</f>
        <v>2938.65</v>
      </c>
      <c r="AA17" s="10">
        <f>SUM(K17)</f>
        <v>178100</v>
      </c>
    </row>
    <row r="18" spans="1:27" ht="26.4" customHeight="1" x14ac:dyDescent="0.3">
      <c r="A18" s="6">
        <v>11</v>
      </c>
      <c r="B18" s="6" t="s">
        <v>33</v>
      </c>
      <c r="C18" s="19" t="s">
        <v>26</v>
      </c>
      <c r="D18" s="26" t="s">
        <v>30</v>
      </c>
      <c r="E18" s="20" t="s">
        <v>24</v>
      </c>
      <c r="F18" s="21" t="s">
        <v>29</v>
      </c>
      <c r="G18" s="7">
        <v>3.45</v>
      </c>
      <c r="H18" s="8">
        <v>17697</v>
      </c>
      <c r="I18" s="46">
        <v>1.125</v>
      </c>
      <c r="J18" s="6">
        <f>H18*G18*I18</f>
        <v>68686.481249999997</v>
      </c>
      <c r="K18" s="7">
        <v>178100</v>
      </c>
      <c r="L18" s="3">
        <f t="shared" si="1"/>
        <v>109413.51875</v>
      </c>
      <c r="M18" s="7">
        <f t="shared" si="27"/>
        <v>44525</v>
      </c>
      <c r="N18" s="7">
        <f>K18+M18</f>
        <v>222625</v>
      </c>
      <c r="O18" s="9"/>
      <c r="P18" s="7"/>
      <c r="Q18" s="8"/>
      <c r="R18" s="8"/>
      <c r="S18" s="7">
        <f t="shared" si="23"/>
        <v>22262.5</v>
      </c>
      <c r="T18" s="7">
        <f t="shared" si="29"/>
        <v>22262.5</v>
      </c>
      <c r="U18" s="7">
        <f t="shared" si="30"/>
        <v>244887.5</v>
      </c>
      <c r="V18" s="3">
        <f t="shared" si="19"/>
        <v>24488.75</v>
      </c>
      <c r="W18" s="3">
        <f t="shared" si="24"/>
        <v>16720.100000000002</v>
      </c>
      <c r="X18" s="3">
        <f t="shared" si="20"/>
        <v>4897.75</v>
      </c>
      <c r="Y18" s="3">
        <f t="shared" si="21"/>
        <v>198780.9</v>
      </c>
      <c r="Z18" s="7">
        <f t="shared" si="31"/>
        <v>2938.65</v>
      </c>
      <c r="AA18" s="10">
        <f t="shared" si="25"/>
        <v>178100</v>
      </c>
    </row>
    <row r="19" spans="1:27" ht="28.8" customHeight="1" x14ac:dyDescent="0.3">
      <c r="A19" s="6">
        <v>12</v>
      </c>
      <c r="B19" s="6" t="s">
        <v>34</v>
      </c>
      <c r="C19" s="19" t="s">
        <v>26</v>
      </c>
      <c r="D19" s="7" t="s">
        <v>8</v>
      </c>
      <c r="E19" s="20" t="s">
        <v>35</v>
      </c>
      <c r="F19" s="21" t="s">
        <v>10</v>
      </c>
      <c r="G19" s="7">
        <v>4.1399999999999997</v>
      </c>
      <c r="H19" s="8">
        <v>17697</v>
      </c>
      <c r="I19" s="46">
        <v>1.125</v>
      </c>
      <c r="J19" s="6">
        <f t="shared" si="22"/>
        <v>82423.777499999982</v>
      </c>
      <c r="K19" s="22">
        <f t="shared" si="26"/>
        <v>164847.55499999996</v>
      </c>
      <c r="L19" s="3">
        <f t="shared" si="1"/>
        <v>82423.777499999982</v>
      </c>
      <c r="M19" s="7">
        <f t="shared" si="27"/>
        <v>41211.888749999991</v>
      </c>
      <c r="N19" s="7">
        <f>K19+M19</f>
        <v>206059.44374999995</v>
      </c>
      <c r="O19" s="9"/>
      <c r="P19" s="7"/>
      <c r="Q19" s="8"/>
      <c r="R19" s="8"/>
      <c r="S19" s="7">
        <f t="shared" si="23"/>
        <v>20605.944374999995</v>
      </c>
      <c r="T19" s="7">
        <f t="shared" si="29"/>
        <v>20605.944374999995</v>
      </c>
      <c r="U19" s="23">
        <f t="shared" si="30"/>
        <v>226665.38812499994</v>
      </c>
      <c r="V19" s="4">
        <f t="shared" si="19"/>
        <v>22666.538812499995</v>
      </c>
      <c r="W19" s="4">
        <f t="shared" si="24"/>
        <v>15116.554154999998</v>
      </c>
      <c r="X19" s="4">
        <f t="shared" si="20"/>
        <v>4533.3077624999987</v>
      </c>
      <c r="Y19" s="5">
        <f t="shared" si="21"/>
        <v>184348.98739499997</v>
      </c>
      <c r="Z19" s="7">
        <f t="shared" si="31"/>
        <v>2719.9846574999992</v>
      </c>
      <c r="AA19" s="10">
        <f t="shared" si="25"/>
        <v>164847.55499999996</v>
      </c>
    </row>
    <row r="20" spans="1:27" ht="13.2" customHeight="1" x14ac:dyDescent="0.3">
      <c r="A20" s="6">
        <v>13</v>
      </c>
      <c r="B20" s="6" t="s">
        <v>36</v>
      </c>
      <c r="C20" s="19" t="s">
        <v>26</v>
      </c>
      <c r="D20" s="7" t="s">
        <v>30</v>
      </c>
      <c r="E20" s="20" t="s">
        <v>37</v>
      </c>
      <c r="F20" s="21" t="s">
        <v>29</v>
      </c>
      <c r="G20" s="7">
        <v>3.36</v>
      </c>
      <c r="H20" s="8">
        <v>17697</v>
      </c>
      <c r="I20" s="46">
        <v>1.125</v>
      </c>
      <c r="J20" s="6">
        <f t="shared" si="22"/>
        <v>66894.66</v>
      </c>
      <c r="K20" s="22">
        <f t="shared" si="26"/>
        <v>133789.32</v>
      </c>
      <c r="L20" s="3">
        <f t="shared" si="1"/>
        <v>66894.66</v>
      </c>
      <c r="M20" s="7">
        <f t="shared" si="27"/>
        <v>33447.33</v>
      </c>
      <c r="N20" s="7">
        <f t="shared" si="28"/>
        <v>167236.65000000002</v>
      </c>
      <c r="O20" s="9"/>
      <c r="P20" s="7"/>
      <c r="Q20" s="8"/>
      <c r="R20" s="8"/>
      <c r="S20" s="7">
        <f t="shared" si="23"/>
        <v>16723.665000000005</v>
      </c>
      <c r="T20" s="7">
        <f t="shared" si="29"/>
        <v>16723.665000000005</v>
      </c>
      <c r="U20" s="23">
        <f t="shared" si="30"/>
        <v>183960.31500000003</v>
      </c>
      <c r="V20" s="4">
        <f t="shared" si="19"/>
        <v>18396.031500000005</v>
      </c>
      <c r="W20" s="4">
        <f t="shared" si="24"/>
        <v>11358.507720000001</v>
      </c>
      <c r="X20" s="4">
        <f t="shared" si="20"/>
        <v>3679.2063000000007</v>
      </c>
      <c r="Y20" s="5">
        <f t="shared" si="21"/>
        <v>150526.56948000003</v>
      </c>
      <c r="Z20" s="7">
        <f t="shared" si="31"/>
        <v>2207.5237800000004</v>
      </c>
      <c r="AA20" s="10">
        <f t="shared" si="25"/>
        <v>133789.32</v>
      </c>
    </row>
    <row r="21" spans="1:27" ht="0.6" customHeight="1" x14ac:dyDescent="0.3">
      <c r="A21" s="6">
        <v>14</v>
      </c>
      <c r="B21" s="6" t="s">
        <v>19</v>
      </c>
      <c r="C21" s="7" t="s">
        <v>38</v>
      </c>
      <c r="D21" s="7" t="s">
        <v>30</v>
      </c>
      <c r="E21" s="20" t="s">
        <v>24</v>
      </c>
      <c r="F21" s="21" t="s">
        <v>39</v>
      </c>
      <c r="G21" s="7">
        <v>3.85</v>
      </c>
      <c r="H21" s="8">
        <v>17697</v>
      </c>
      <c r="I21" s="46">
        <v>0.75</v>
      </c>
      <c r="J21" s="6">
        <f>H21*G21*I21</f>
        <v>51100.087499999994</v>
      </c>
      <c r="K21" s="7">
        <v>0</v>
      </c>
      <c r="L21" s="3"/>
      <c r="M21" s="7">
        <f>SUM(J21*25%)</f>
        <v>12775.021874999999</v>
      </c>
      <c r="N21" s="7">
        <f>J21+M21</f>
        <v>63875.109374999993</v>
      </c>
      <c r="O21" s="9">
        <v>0.3</v>
      </c>
      <c r="P21" s="7">
        <v>2654.55</v>
      </c>
      <c r="Q21" s="8"/>
      <c r="R21" s="8"/>
      <c r="S21" s="7">
        <f>SUM(N21*10%)</f>
        <v>6387.5109374999993</v>
      </c>
      <c r="T21" s="7">
        <f t="shared" ref="T21" si="32">SUM(S21)</f>
        <v>6387.5109374999993</v>
      </c>
      <c r="U21" s="23">
        <f>N21+T21</f>
        <v>70262.620312499988</v>
      </c>
      <c r="V21" s="4">
        <f t="shared" ref="V21" si="33">SUM(U21*10%)</f>
        <v>7026.2620312499994</v>
      </c>
      <c r="W21" s="4">
        <f t="shared" ref="W21" si="34">SUM(U21-V21-48300-X21)*0.1</f>
        <v>1353.1105874999989</v>
      </c>
      <c r="X21" s="4">
        <f t="shared" ref="X21" si="35">SUM(U21*2%)</f>
        <v>1405.2524062499997</v>
      </c>
      <c r="Y21" s="5">
        <f t="shared" ref="Y21" si="36">SUM(U21-V21-W21-X21)</f>
        <v>60477.995287499987</v>
      </c>
      <c r="Z21" s="7">
        <f t="shared" ref="Z21" si="37">U21*12/1000</f>
        <v>843.15144374999988</v>
      </c>
      <c r="AA21" s="10">
        <f t="shared" ref="AA21" si="38">SUM(K21)</f>
        <v>0</v>
      </c>
    </row>
    <row r="22" spans="1:27" x14ac:dyDescent="0.3">
      <c r="B22" s="6" t="s">
        <v>19</v>
      </c>
      <c r="C22" s="7" t="s">
        <v>38</v>
      </c>
      <c r="D22" s="7" t="s">
        <v>30</v>
      </c>
      <c r="E22" s="20" t="s">
        <v>24</v>
      </c>
      <c r="F22" s="21" t="s">
        <v>39</v>
      </c>
      <c r="G22" s="7">
        <v>3.85</v>
      </c>
      <c r="H22" s="8">
        <v>17697</v>
      </c>
      <c r="I22" s="46">
        <v>0.75</v>
      </c>
      <c r="J22" s="6">
        <f>H22*G22*I22</f>
        <v>51100.087499999994</v>
      </c>
      <c r="K22" s="7">
        <v>0</v>
      </c>
      <c r="L22" s="3"/>
      <c r="M22" s="7">
        <f>SUM(J22*25%)</f>
        <v>12775.021874999999</v>
      </c>
      <c r="N22" s="7">
        <f>J22+M22</f>
        <v>63875.109374999993</v>
      </c>
      <c r="O22" s="9">
        <v>0.3</v>
      </c>
      <c r="P22" s="7">
        <v>2654.55</v>
      </c>
      <c r="Q22" s="8"/>
      <c r="R22" s="8"/>
      <c r="S22" s="7">
        <f>SUM(N22*10%)</f>
        <v>6387.5109374999993</v>
      </c>
      <c r="T22" s="7">
        <f t="shared" ref="T22" si="39">SUM(S22)</f>
        <v>6387.5109374999993</v>
      </c>
      <c r="U22" s="23">
        <f>N22+T22</f>
        <v>70262.620312499988</v>
      </c>
      <c r="V22" s="4">
        <f t="shared" ref="V22:V46" si="40">SUM(U22*10%)</f>
        <v>7026.2620312499994</v>
      </c>
      <c r="W22" s="4">
        <f t="shared" ref="W22:W44" si="41">SUM(U22-V22-48300-X22)*0.1</f>
        <v>1353.1105874999989</v>
      </c>
      <c r="X22" s="4">
        <f t="shared" ref="X22:X45" si="42">SUM(U22*2%)</f>
        <v>1405.2524062499997</v>
      </c>
      <c r="Y22" s="5">
        <f t="shared" ref="Y22:Y46" si="43">SUM(U22-V22-W22-X22)</f>
        <v>60477.995287499987</v>
      </c>
      <c r="Z22" s="7">
        <f t="shared" ref="Z22" si="44">U22*12/1000</f>
        <v>843.15144374999988</v>
      </c>
      <c r="AA22" s="10">
        <f t="shared" ref="AA22" si="45">SUM(K22)</f>
        <v>0</v>
      </c>
    </row>
    <row r="23" spans="1:27" ht="30.6" x14ac:dyDescent="0.3">
      <c r="A23" s="6">
        <v>14</v>
      </c>
      <c r="B23" s="70" t="s">
        <v>70</v>
      </c>
      <c r="C23" s="71"/>
      <c r="D23" s="73"/>
      <c r="E23" s="73"/>
      <c r="F23" s="73"/>
      <c r="G23" s="73"/>
      <c r="H23" s="73"/>
      <c r="I23" s="73">
        <f>SUM(I24:I25)</f>
        <v>1</v>
      </c>
      <c r="J23" s="74">
        <f t="shared" ref="J23:AA23" si="46">SUM(J24:J25)</f>
        <v>68398.904999999999</v>
      </c>
      <c r="K23" s="75"/>
      <c r="L23" s="73"/>
      <c r="M23" s="73">
        <f t="shared" si="46"/>
        <v>0</v>
      </c>
      <c r="N23" s="73">
        <f>SUM(N24:N25)</f>
        <v>68398.904999999999</v>
      </c>
      <c r="O23" s="73">
        <f t="shared" si="46"/>
        <v>0</v>
      </c>
      <c r="P23" s="73">
        <f t="shared" si="46"/>
        <v>0</v>
      </c>
      <c r="Q23" s="73">
        <f t="shared" si="46"/>
        <v>0</v>
      </c>
      <c r="R23" s="73">
        <f t="shared" si="46"/>
        <v>0</v>
      </c>
      <c r="S23" s="73">
        <f t="shared" si="46"/>
        <v>6839.8904999999995</v>
      </c>
      <c r="T23" s="73">
        <f t="shared" si="46"/>
        <v>6839.8904999999995</v>
      </c>
      <c r="U23" s="4">
        <f>SUM(U24:U25)</f>
        <v>75238.795499999993</v>
      </c>
      <c r="V23" s="4">
        <f t="shared" si="40"/>
        <v>7523.8795499999997</v>
      </c>
      <c r="W23" s="4">
        <f t="shared" si="41"/>
        <v>1791.0140039999997</v>
      </c>
      <c r="X23" s="4">
        <f t="shared" si="42"/>
        <v>1504.7759099999998</v>
      </c>
      <c r="Y23" s="5">
        <f t="shared" si="43"/>
        <v>64419.126036000001</v>
      </c>
      <c r="Z23" s="73">
        <f t="shared" si="46"/>
        <v>300.95518199999992</v>
      </c>
      <c r="AA23" s="73">
        <f t="shared" si="46"/>
        <v>68.398904999999999</v>
      </c>
    </row>
    <row r="24" spans="1:27" x14ac:dyDescent="0.3">
      <c r="A24" s="72"/>
      <c r="B24" s="6" t="s">
        <v>71</v>
      </c>
      <c r="C24" s="7" t="s">
        <v>72</v>
      </c>
      <c r="D24" s="7" t="s">
        <v>8</v>
      </c>
      <c r="E24" s="8" t="s">
        <v>9</v>
      </c>
      <c r="F24" s="21" t="s">
        <v>73</v>
      </c>
      <c r="G24" s="7">
        <v>4.2699999999999996</v>
      </c>
      <c r="H24" s="8">
        <v>17697</v>
      </c>
      <c r="I24" s="7">
        <v>0.5</v>
      </c>
      <c r="J24" s="6">
        <f>H24*G24*I24</f>
        <v>37783.094999999994</v>
      </c>
      <c r="K24" s="7"/>
      <c r="L24" s="7"/>
      <c r="M24" s="7"/>
      <c r="N24" s="7">
        <f>J24+M24</f>
        <v>37783.094999999994</v>
      </c>
      <c r="O24" s="9"/>
      <c r="P24" s="7"/>
      <c r="Q24" s="8"/>
      <c r="R24" s="8"/>
      <c r="S24" s="7">
        <f>J24*10%</f>
        <v>3778.3094999999994</v>
      </c>
      <c r="T24" s="7">
        <f>S24</f>
        <v>3778.3094999999994</v>
      </c>
      <c r="U24" s="23">
        <f>N24+T24</f>
        <v>41561.40449999999</v>
      </c>
      <c r="V24" s="4">
        <f t="shared" si="40"/>
        <v>4156.140449999999</v>
      </c>
      <c r="W24" s="4"/>
      <c r="X24" s="4">
        <f t="shared" si="42"/>
        <v>831.22808999999984</v>
      </c>
      <c r="Y24" s="5">
        <f t="shared" si="43"/>
        <v>36574.035959999994</v>
      </c>
      <c r="Z24" s="7">
        <f>U24*4/1000</f>
        <v>166.24561799999995</v>
      </c>
      <c r="AA24" s="76">
        <f>J24/1000</f>
        <v>37.783094999999996</v>
      </c>
    </row>
    <row r="25" spans="1:27" x14ac:dyDescent="0.3">
      <c r="A25" s="6">
        <v>16</v>
      </c>
      <c r="B25" s="6" t="s">
        <v>74</v>
      </c>
      <c r="C25" s="19" t="s">
        <v>75</v>
      </c>
      <c r="D25" s="7" t="s">
        <v>8</v>
      </c>
      <c r="E25" s="8" t="s">
        <v>9</v>
      </c>
      <c r="F25" s="21" t="s">
        <v>76</v>
      </c>
      <c r="G25" s="7">
        <v>3.46</v>
      </c>
      <c r="H25" s="8">
        <v>17697</v>
      </c>
      <c r="I25" s="7">
        <v>0.5</v>
      </c>
      <c r="J25" s="6">
        <f>H25*G25*I25</f>
        <v>30615.81</v>
      </c>
      <c r="K25" s="7"/>
      <c r="L25" s="7"/>
      <c r="M25" s="7"/>
      <c r="N25" s="7">
        <f>J25+M25</f>
        <v>30615.81</v>
      </c>
      <c r="O25" s="9"/>
      <c r="P25" s="7"/>
      <c r="Q25" s="8"/>
      <c r="R25" s="8"/>
      <c r="S25" s="7">
        <f>J25*10%</f>
        <v>3061.5810000000001</v>
      </c>
      <c r="T25" s="7">
        <f>S25</f>
        <v>3061.5810000000001</v>
      </c>
      <c r="U25" s="23">
        <f>N25+T25</f>
        <v>33677.391000000003</v>
      </c>
      <c r="V25" s="4">
        <f t="shared" si="40"/>
        <v>3367.7391000000007</v>
      </c>
      <c r="W25" s="4"/>
      <c r="X25" s="4">
        <f t="shared" si="42"/>
        <v>673.54782000000012</v>
      </c>
      <c r="Y25" s="5">
        <f t="shared" si="43"/>
        <v>29636.104080000005</v>
      </c>
      <c r="Z25" s="7">
        <f>U25*4/1000</f>
        <v>134.709564</v>
      </c>
      <c r="AA25" s="76">
        <f>J25/1000</f>
        <v>30.61581</v>
      </c>
    </row>
    <row r="26" spans="1:27" ht="30.6" x14ac:dyDescent="0.3">
      <c r="A26" s="77">
        <v>17</v>
      </c>
      <c r="B26" s="78" t="s">
        <v>77</v>
      </c>
      <c r="C26" s="79"/>
      <c r="D26" s="2"/>
      <c r="E26" s="2"/>
      <c r="F26" s="2"/>
      <c r="G26" s="2"/>
      <c r="H26" s="2"/>
      <c r="I26" s="2">
        <f>SUM(I27:I29)</f>
        <v>3.4499999999999997</v>
      </c>
      <c r="J26" s="1">
        <f t="shared" ref="J26:AA26" si="47">SUM(J27:J29)</f>
        <v>179500.67099999997</v>
      </c>
      <c r="K26" s="73"/>
      <c r="L26" s="2"/>
      <c r="M26" s="2">
        <f t="shared" si="47"/>
        <v>0</v>
      </c>
      <c r="N26" s="2">
        <f t="shared" si="47"/>
        <v>179500.67099999997</v>
      </c>
      <c r="O26" s="2">
        <f t="shared" si="47"/>
        <v>0.89999999999999991</v>
      </c>
      <c r="P26" s="2">
        <f t="shared" si="47"/>
        <v>18316.41</v>
      </c>
      <c r="Q26" s="2">
        <f t="shared" si="47"/>
        <v>0</v>
      </c>
      <c r="R26" s="2">
        <f t="shared" si="47"/>
        <v>0</v>
      </c>
      <c r="S26" s="2">
        <f t="shared" si="47"/>
        <v>17950.0671</v>
      </c>
      <c r="T26" s="2">
        <f t="shared" si="47"/>
        <v>36266.477100000004</v>
      </c>
      <c r="U26" s="4">
        <f>SUM(U27:U29)</f>
        <v>215767.14809999996</v>
      </c>
      <c r="V26" s="4"/>
      <c r="W26" s="4"/>
      <c r="X26" s="4"/>
      <c r="Y26" s="5"/>
      <c r="Z26" s="2">
        <f t="shared" si="47"/>
        <v>2589.2057771999994</v>
      </c>
      <c r="AA26" s="2">
        <f t="shared" si="47"/>
        <v>179.50067099999998</v>
      </c>
    </row>
    <row r="27" spans="1:27" ht="26.4" x14ac:dyDescent="0.3">
      <c r="A27" s="56"/>
      <c r="B27" s="6" t="s">
        <v>78</v>
      </c>
      <c r="C27" s="7" t="s">
        <v>79</v>
      </c>
      <c r="D27" s="7" t="s">
        <v>30</v>
      </c>
      <c r="E27" s="8" t="s">
        <v>80</v>
      </c>
      <c r="F27" s="21" t="s">
        <v>81</v>
      </c>
      <c r="G27" s="7">
        <v>2.94</v>
      </c>
      <c r="H27" s="8">
        <v>17697</v>
      </c>
      <c r="I27" s="7">
        <v>1.1499999999999999</v>
      </c>
      <c r="J27" s="6">
        <f>H27*G27*I27</f>
        <v>59833.556999999993</v>
      </c>
      <c r="K27" s="7"/>
      <c r="L27" s="7"/>
      <c r="M27" s="7"/>
      <c r="N27" s="7">
        <f>J27+M27</f>
        <v>59833.556999999993</v>
      </c>
      <c r="O27" s="9">
        <v>0.3</v>
      </c>
      <c r="P27" s="7">
        <v>6105.47</v>
      </c>
      <c r="Q27" s="8"/>
      <c r="R27" s="8"/>
      <c r="S27" s="7">
        <f>J27*10%</f>
        <v>5983.3557000000001</v>
      </c>
      <c r="T27" s="7">
        <f>P27+S27</f>
        <v>12088.825700000001</v>
      </c>
      <c r="U27" s="23">
        <f>N27+T27</f>
        <v>71922.382699999987</v>
      </c>
      <c r="V27" s="4">
        <f t="shared" si="40"/>
        <v>7192.2382699999989</v>
      </c>
      <c r="W27" s="4">
        <f t="shared" si="41"/>
        <v>1499.1696775999987</v>
      </c>
      <c r="X27" s="4">
        <f>SUM(U27*2%)</f>
        <v>1438.4476539999998</v>
      </c>
      <c r="Y27" s="5">
        <f t="shared" si="43"/>
        <v>61792.527098399987</v>
      </c>
      <c r="Z27" s="7">
        <f>U27*12/1000</f>
        <v>863.06859239999983</v>
      </c>
      <c r="AA27" s="76">
        <f>J27/1000</f>
        <v>59.833556999999992</v>
      </c>
    </row>
    <row r="28" spans="1:27" ht="26.4" x14ac:dyDescent="0.3">
      <c r="A28" s="6">
        <v>18</v>
      </c>
      <c r="B28" s="6" t="s">
        <v>82</v>
      </c>
      <c r="C28" s="7" t="s">
        <v>79</v>
      </c>
      <c r="D28" s="7" t="s">
        <v>30</v>
      </c>
      <c r="E28" s="8" t="s">
        <v>80</v>
      </c>
      <c r="F28" s="21" t="s">
        <v>81</v>
      </c>
      <c r="G28" s="7">
        <v>2.94</v>
      </c>
      <c r="H28" s="8">
        <v>17697</v>
      </c>
      <c r="I28" s="7">
        <v>1.1499999999999999</v>
      </c>
      <c r="J28" s="6">
        <f>H28*G28*I28</f>
        <v>59833.556999999993</v>
      </c>
      <c r="K28" s="7"/>
      <c r="L28" s="7"/>
      <c r="M28" s="7"/>
      <c r="N28" s="7">
        <f>J28+M28</f>
        <v>59833.556999999993</v>
      </c>
      <c r="O28" s="9">
        <v>0.3</v>
      </c>
      <c r="P28" s="7">
        <v>6105.47</v>
      </c>
      <c r="Q28" s="8"/>
      <c r="R28" s="8"/>
      <c r="S28" s="7">
        <f>J28*10%</f>
        <v>5983.3557000000001</v>
      </c>
      <c r="T28" s="7">
        <f>P28+S28</f>
        <v>12088.825700000001</v>
      </c>
      <c r="U28" s="23">
        <f>N28+T28</f>
        <v>71922.382699999987</v>
      </c>
      <c r="V28" s="4">
        <f t="shared" si="40"/>
        <v>7192.2382699999989</v>
      </c>
      <c r="W28" s="4">
        <f t="shared" si="41"/>
        <v>1499.1696775999987</v>
      </c>
      <c r="X28" s="4">
        <f t="shared" si="42"/>
        <v>1438.4476539999998</v>
      </c>
      <c r="Y28" s="5">
        <f t="shared" si="43"/>
        <v>61792.527098399987</v>
      </c>
      <c r="Z28" s="7">
        <f>U28*12/1000</f>
        <v>863.06859239999983</v>
      </c>
      <c r="AA28" s="76">
        <f>J28/1000</f>
        <v>59.833556999999992</v>
      </c>
    </row>
    <row r="29" spans="1:27" ht="26.4" x14ac:dyDescent="0.3">
      <c r="A29" s="6">
        <v>19</v>
      </c>
      <c r="B29" s="6">
        <v>6</v>
      </c>
      <c r="C29" s="7" t="s">
        <v>79</v>
      </c>
      <c r="D29" s="7" t="s">
        <v>30</v>
      </c>
      <c r="E29" s="8" t="s">
        <v>80</v>
      </c>
      <c r="F29" s="21" t="s">
        <v>81</v>
      </c>
      <c r="G29" s="7">
        <v>2.94</v>
      </c>
      <c r="H29" s="8">
        <v>17697</v>
      </c>
      <c r="I29" s="7">
        <v>1.1499999999999999</v>
      </c>
      <c r="J29" s="6">
        <f>H29*G29*I29</f>
        <v>59833.556999999993</v>
      </c>
      <c r="K29" s="7"/>
      <c r="L29" s="7"/>
      <c r="M29" s="7"/>
      <c r="N29" s="7">
        <f>J29+M29</f>
        <v>59833.556999999993</v>
      </c>
      <c r="O29" s="9">
        <v>0.3</v>
      </c>
      <c r="P29" s="7">
        <v>6105.47</v>
      </c>
      <c r="Q29" s="8"/>
      <c r="R29" s="8"/>
      <c r="S29" s="7">
        <f>J29*10%</f>
        <v>5983.3557000000001</v>
      </c>
      <c r="T29" s="7">
        <f>P29+S29</f>
        <v>12088.825700000001</v>
      </c>
      <c r="U29" s="23">
        <f>N29+T29</f>
        <v>71922.382699999987</v>
      </c>
      <c r="V29" s="4">
        <f t="shared" si="40"/>
        <v>7192.2382699999989</v>
      </c>
      <c r="W29" s="4">
        <f t="shared" si="41"/>
        <v>1499.1696775999987</v>
      </c>
      <c r="X29" s="4">
        <f t="shared" si="42"/>
        <v>1438.4476539999998</v>
      </c>
      <c r="Y29" s="5">
        <f t="shared" si="43"/>
        <v>61792.527098399987</v>
      </c>
      <c r="Z29" s="7">
        <f>U29*12/1000</f>
        <v>863.06859239999983</v>
      </c>
      <c r="AA29" s="76">
        <f>J29/1000</f>
        <v>59.833556999999992</v>
      </c>
    </row>
    <row r="30" spans="1:27" x14ac:dyDescent="0.3">
      <c r="A30" s="6">
        <v>20</v>
      </c>
      <c r="B30" s="78" t="s">
        <v>83</v>
      </c>
      <c r="C30" s="79"/>
      <c r="D30" s="2"/>
      <c r="E30" s="2"/>
      <c r="F30" s="2"/>
      <c r="G30" s="2">
        <f>SUM(G31:G31)</f>
        <v>2.81</v>
      </c>
      <c r="H30" s="2"/>
      <c r="I30" s="2">
        <f>SUM(I31:I46)</f>
        <v>13</v>
      </c>
      <c r="J30" s="1">
        <f>SUM(J31:J46)</f>
        <v>651780.51</v>
      </c>
      <c r="K30" s="73"/>
      <c r="L30" s="2"/>
      <c r="M30" s="2">
        <f t="shared" ref="M30:AA30" si="48">SUM(M31:M45)</f>
        <v>0</v>
      </c>
      <c r="N30" s="2">
        <f t="shared" si="48"/>
        <v>626916.22499999998</v>
      </c>
      <c r="O30" s="2">
        <f t="shared" si="48"/>
        <v>1.8</v>
      </c>
      <c r="P30" s="2">
        <f t="shared" si="48"/>
        <v>29200.05</v>
      </c>
      <c r="Q30" s="2">
        <f t="shared" si="48"/>
        <v>73072.02</v>
      </c>
      <c r="R30" s="2">
        <f t="shared" si="48"/>
        <v>116915.28000000001</v>
      </c>
      <c r="S30" s="2">
        <f t="shared" si="48"/>
        <v>62691.622500000005</v>
      </c>
      <c r="T30" s="2">
        <f t="shared" si="48"/>
        <v>281878.97250000003</v>
      </c>
      <c r="U30" s="4">
        <f t="shared" si="48"/>
        <v>927377.04749999999</v>
      </c>
      <c r="V30" s="4"/>
      <c r="W30" s="4"/>
      <c r="X30" s="4"/>
      <c r="Y30" s="5"/>
      <c r="Z30" s="2">
        <f t="shared" si="48"/>
        <v>9855.1623240000008</v>
      </c>
      <c r="AA30" s="2">
        <f t="shared" si="48"/>
        <v>49.728569999999998</v>
      </c>
    </row>
    <row r="31" spans="1:27" x14ac:dyDescent="0.3">
      <c r="A31" s="80"/>
      <c r="B31" s="6" t="s">
        <v>84</v>
      </c>
      <c r="C31" s="7" t="s">
        <v>85</v>
      </c>
      <c r="D31" s="7" t="s">
        <v>30</v>
      </c>
      <c r="E31" s="7"/>
      <c r="F31" s="7" t="s">
        <v>86</v>
      </c>
      <c r="G31" s="7">
        <v>2.81</v>
      </c>
      <c r="H31" s="8">
        <v>17697</v>
      </c>
      <c r="I31" s="20">
        <v>1</v>
      </c>
      <c r="J31" s="6">
        <f t="shared" ref="J31:J45" si="49">H31*G31*I31</f>
        <v>49728.57</v>
      </c>
      <c r="K31" s="7"/>
      <c r="L31" s="7"/>
      <c r="M31" s="7"/>
      <c r="N31" s="7">
        <f t="shared" ref="N31:N46" si="50">J31+M31</f>
        <v>49728.57</v>
      </c>
      <c r="O31" s="9">
        <v>0.3</v>
      </c>
      <c r="P31" s="7">
        <v>5309.1</v>
      </c>
      <c r="Q31" s="8"/>
      <c r="R31" s="8"/>
      <c r="S31" s="7">
        <f t="shared" ref="S31:S45" si="51">J31*10%</f>
        <v>4972.857</v>
      </c>
      <c r="T31" s="7">
        <f>P31+Q31+R31+S31</f>
        <v>10281.957</v>
      </c>
      <c r="U31" s="23">
        <f>N31+T31+P31</f>
        <v>65319.627</v>
      </c>
      <c r="V31" s="4">
        <f t="shared" si="40"/>
        <v>6531.9627</v>
      </c>
      <c r="W31" s="4">
        <f t="shared" si="41"/>
        <v>918.12717600000042</v>
      </c>
      <c r="X31" s="4">
        <f t="shared" si="42"/>
        <v>1306.3925400000001</v>
      </c>
      <c r="Y31" s="5">
        <f t="shared" si="43"/>
        <v>56563.144584000001</v>
      </c>
      <c r="Z31" s="7">
        <f>U31*12/1000</f>
        <v>783.83552399999996</v>
      </c>
      <c r="AA31" s="81">
        <f>J31/1000</f>
        <v>49.728569999999998</v>
      </c>
    </row>
    <row r="32" spans="1:27" x14ac:dyDescent="0.3">
      <c r="A32" s="6">
        <v>21</v>
      </c>
      <c r="B32" s="6" t="s">
        <v>87</v>
      </c>
      <c r="C32" s="7" t="s">
        <v>88</v>
      </c>
      <c r="D32" s="7" t="s">
        <v>30</v>
      </c>
      <c r="E32" s="7"/>
      <c r="F32" s="7" t="s">
        <v>86</v>
      </c>
      <c r="G32" s="7">
        <v>2.81</v>
      </c>
      <c r="H32" s="8">
        <v>17697</v>
      </c>
      <c r="I32" s="20">
        <v>0.5</v>
      </c>
      <c r="J32" s="6">
        <f t="shared" si="49"/>
        <v>24864.285</v>
      </c>
      <c r="K32" s="7"/>
      <c r="L32" s="7"/>
      <c r="M32" s="7"/>
      <c r="N32" s="7">
        <f t="shared" si="50"/>
        <v>24864.285</v>
      </c>
      <c r="O32" s="9">
        <v>0.3</v>
      </c>
      <c r="P32" s="7">
        <f>H32*I32*O32</f>
        <v>2654.5499999999997</v>
      </c>
      <c r="Q32" s="8"/>
      <c r="R32" s="8"/>
      <c r="S32" s="7">
        <f t="shared" si="51"/>
        <v>2486.4285</v>
      </c>
      <c r="T32" s="7">
        <f t="shared" ref="T32:T45" si="52">P32+Q32+R32+S32</f>
        <v>5140.9784999999993</v>
      </c>
      <c r="U32" s="23">
        <f>N32+T32+P32</f>
        <v>32659.8135</v>
      </c>
      <c r="V32" s="4">
        <f t="shared" si="40"/>
        <v>3265.98135</v>
      </c>
      <c r="W32" s="4"/>
      <c r="X32" s="4">
        <f t="shared" si="42"/>
        <v>653.19627000000003</v>
      </c>
      <c r="Y32" s="5">
        <f t="shared" si="43"/>
        <v>28740.635880000002</v>
      </c>
      <c r="Z32" s="7">
        <f>U32*12/1000</f>
        <v>391.91776199999998</v>
      </c>
      <c r="AA32" s="82">
        <v>0</v>
      </c>
    </row>
    <row r="33" spans="1:27" x14ac:dyDescent="0.3">
      <c r="A33" s="6">
        <v>22</v>
      </c>
      <c r="B33" s="6" t="s">
        <v>89</v>
      </c>
      <c r="C33" s="7" t="s">
        <v>90</v>
      </c>
      <c r="D33" s="7" t="s">
        <v>30</v>
      </c>
      <c r="E33" s="7"/>
      <c r="F33" s="7" t="s">
        <v>86</v>
      </c>
      <c r="G33" s="7">
        <v>2.81</v>
      </c>
      <c r="H33" s="8">
        <v>17697</v>
      </c>
      <c r="I33" s="20">
        <v>0.5</v>
      </c>
      <c r="J33" s="6">
        <f t="shared" si="49"/>
        <v>24864.285</v>
      </c>
      <c r="K33" s="7"/>
      <c r="L33" s="7"/>
      <c r="M33" s="7"/>
      <c r="N33" s="7">
        <f t="shared" si="50"/>
        <v>24864.285</v>
      </c>
      <c r="O33" s="9">
        <v>0.3</v>
      </c>
      <c r="P33" s="7">
        <v>5309.1</v>
      </c>
      <c r="Q33" s="8"/>
      <c r="R33" s="8"/>
      <c r="S33" s="7">
        <f t="shared" si="51"/>
        <v>2486.4285</v>
      </c>
      <c r="T33" s="7">
        <f t="shared" si="52"/>
        <v>7795.5285000000003</v>
      </c>
      <c r="U33" s="23">
        <f>N33+T33+P33</f>
        <v>37968.913500000002</v>
      </c>
      <c r="V33" s="4">
        <f t="shared" si="40"/>
        <v>3796.8913500000003</v>
      </c>
      <c r="W33" s="4"/>
      <c r="X33" s="4">
        <f t="shared" si="42"/>
        <v>759.37827000000004</v>
      </c>
      <c r="Y33" s="5">
        <f t="shared" si="43"/>
        <v>33412.643880000003</v>
      </c>
      <c r="Z33" s="7">
        <f>U33*12/1000</f>
        <v>455.62696200000005</v>
      </c>
      <c r="AA33" s="82">
        <v>0</v>
      </c>
    </row>
    <row r="34" spans="1:27" x14ac:dyDescent="0.3">
      <c r="A34" s="6">
        <v>23</v>
      </c>
      <c r="B34" s="6" t="s">
        <v>89</v>
      </c>
      <c r="C34" s="7" t="s">
        <v>91</v>
      </c>
      <c r="D34" s="7" t="s">
        <v>30</v>
      </c>
      <c r="E34" s="7"/>
      <c r="F34" s="7" t="s">
        <v>86</v>
      </c>
      <c r="G34" s="7">
        <v>2.81</v>
      </c>
      <c r="H34" s="8">
        <v>17697</v>
      </c>
      <c r="I34" s="20">
        <v>1</v>
      </c>
      <c r="J34" s="6">
        <f t="shared" si="49"/>
        <v>49728.57</v>
      </c>
      <c r="K34" s="7"/>
      <c r="L34" s="7"/>
      <c r="M34" s="7"/>
      <c r="N34" s="7">
        <f t="shared" si="50"/>
        <v>49728.57</v>
      </c>
      <c r="O34" s="9"/>
      <c r="P34" s="7"/>
      <c r="Q34" s="8"/>
      <c r="R34" s="8"/>
      <c r="S34" s="7">
        <f t="shared" si="51"/>
        <v>4972.857</v>
      </c>
      <c r="T34" s="7">
        <f t="shared" si="52"/>
        <v>4972.857</v>
      </c>
      <c r="U34" s="23">
        <f t="shared" ref="U34:U45" si="53">N34+T34</f>
        <v>54701.426999999996</v>
      </c>
      <c r="V34" s="4">
        <f t="shared" si="40"/>
        <v>5470.1427000000003</v>
      </c>
      <c r="W34" s="4"/>
      <c r="X34" s="4">
        <f t="shared" si="42"/>
        <v>1094.02854</v>
      </c>
      <c r="Y34" s="5">
        <f t="shared" si="43"/>
        <v>48137.25576</v>
      </c>
      <c r="Z34" s="7">
        <f>U34*12/1000</f>
        <v>656.41712399999994</v>
      </c>
      <c r="AA34" s="82">
        <v>0</v>
      </c>
    </row>
    <row r="35" spans="1:27" x14ac:dyDescent="0.3">
      <c r="A35" s="6">
        <v>24</v>
      </c>
      <c r="B35" s="56" t="s">
        <v>92</v>
      </c>
      <c r="C35" s="58" t="s">
        <v>90</v>
      </c>
      <c r="D35" s="23" t="s">
        <v>30</v>
      </c>
      <c r="E35" s="58"/>
      <c r="F35" s="58" t="s">
        <v>86</v>
      </c>
      <c r="G35" s="58">
        <v>2.81</v>
      </c>
      <c r="H35" s="83">
        <v>17697</v>
      </c>
      <c r="I35" s="84">
        <v>0.5</v>
      </c>
      <c r="J35" s="6">
        <f>H35*G35*I35</f>
        <v>24864.285</v>
      </c>
      <c r="K35" s="7"/>
      <c r="L35" s="58"/>
      <c r="M35" s="58"/>
      <c r="N35" s="58">
        <f>J35+M35</f>
        <v>24864.285</v>
      </c>
      <c r="O35" s="85">
        <v>0.3</v>
      </c>
      <c r="P35" s="58">
        <v>5309.1</v>
      </c>
      <c r="Q35" s="83"/>
      <c r="R35" s="83"/>
      <c r="S35" s="58">
        <f>J35*10%</f>
        <v>2486.4285</v>
      </c>
      <c r="T35" s="58">
        <f>P35+Q35+R35+S35</f>
        <v>7795.5285000000003</v>
      </c>
      <c r="U35" s="23">
        <f>N35+T35+P35</f>
        <v>37968.913500000002</v>
      </c>
      <c r="V35" s="4">
        <f t="shared" si="40"/>
        <v>3796.8913500000003</v>
      </c>
      <c r="W35" s="4">
        <f t="shared" si="41"/>
        <v>-1488.7356119999995</v>
      </c>
      <c r="X35" s="4">
        <f t="shared" si="42"/>
        <v>759.37827000000004</v>
      </c>
      <c r="Y35" s="5">
        <f t="shared" si="43"/>
        <v>34901.379492</v>
      </c>
      <c r="Z35" s="7">
        <f>U35*12/1000</f>
        <v>455.62696200000005</v>
      </c>
      <c r="AA35" s="86">
        <v>0</v>
      </c>
    </row>
    <row r="36" spans="1:27" x14ac:dyDescent="0.3">
      <c r="A36" s="56"/>
      <c r="B36" s="6" t="s">
        <v>93</v>
      </c>
      <c r="C36" s="7" t="s">
        <v>94</v>
      </c>
      <c r="D36" s="7" t="s">
        <v>30</v>
      </c>
      <c r="E36" s="7"/>
      <c r="F36" s="7" t="s">
        <v>95</v>
      </c>
      <c r="G36" s="7">
        <v>2.96</v>
      </c>
      <c r="H36" s="8">
        <v>17697</v>
      </c>
      <c r="I36" s="20">
        <v>1.5</v>
      </c>
      <c r="J36" s="6">
        <f t="shared" si="49"/>
        <v>78574.680000000008</v>
      </c>
      <c r="K36" s="7"/>
      <c r="L36" s="7"/>
      <c r="M36" s="7"/>
      <c r="N36" s="7">
        <f t="shared" si="50"/>
        <v>78574.680000000008</v>
      </c>
      <c r="O36" s="9">
        <v>0.3</v>
      </c>
      <c r="P36" s="7">
        <v>7963.65</v>
      </c>
      <c r="Q36" s="8"/>
      <c r="R36" s="8"/>
      <c r="S36" s="7">
        <f t="shared" si="51"/>
        <v>7857.4680000000008</v>
      </c>
      <c r="T36" s="7">
        <f t="shared" si="52"/>
        <v>15821.118</v>
      </c>
      <c r="U36" s="23">
        <f t="shared" si="53"/>
        <v>94395.79800000001</v>
      </c>
      <c r="V36" s="4">
        <f t="shared" si="40"/>
        <v>9439.5798000000013</v>
      </c>
      <c r="W36" s="4">
        <f t="shared" si="41"/>
        <v>3476.8302240000007</v>
      </c>
      <c r="X36" s="4">
        <f t="shared" si="42"/>
        <v>1887.9159600000003</v>
      </c>
      <c r="Y36" s="5">
        <f t="shared" si="43"/>
        <v>79591.472016</v>
      </c>
      <c r="Z36" s="7">
        <f>U36*6/1000</f>
        <v>566.37478800000008</v>
      </c>
      <c r="AA36" s="82">
        <v>0</v>
      </c>
    </row>
    <row r="37" spans="1:27" x14ac:dyDescent="0.3">
      <c r="A37" s="6">
        <v>25</v>
      </c>
      <c r="B37" s="6" t="s">
        <v>93</v>
      </c>
      <c r="C37" s="7" t="s">
        <v>96</v>
      </c>
      <c r="D37" s="7" t="s">
        <v>8</v>
      </c>
      <c r="E37" s="7"/>
      <c r="F37" s="7" t="s">
        <v>95</v>
      </c>
      <c r="G37" s="7">
        <v>2.96</v>
      </c>
      <c r="H37" s="8">
        <v>17697</v>
      </c>
      <c r="I37" s="20">
        <v>0.5</v>
      </c>
      <c r="J37" s="6">
        <f t="shared" si="49"/>
        <v>26191.56</v>
      </c>
      <c r="K37" s="7"/>
      <c r="L37" s="7"/>
      <c r="M37" s="7"/>
      <c r="N37" s="7">
        <f t="shared" si="50"/>
        <v>26191.56</v>
      </c>
      <c r="O37" s="9">
        <v>0.3</v>
      </c>
      <c r="P37" s="7">
        <v>2654.55</v>
      </c>
      <c r="Q37" s="8"/>
      <c r="R37" s="8"/>
      <c r="S37" s="7">
        <f t="shared" si="51"/>
        <v>2619.1560000000004</v>
      </c>
      <c r="T37" s="7">
        <f t="shared" si="52"/>
        <v>5273.7060000000001</v>
      </c>
      <c r="U37" s="23">
        <f t="shared" si="53"/>
        <v>31465.266000000003</v>
      </c>
      <c r="V37" s="4">
        <f t="shared" si="40"/>
        <v>3146.5266000000006</v>
      </c>
      <c r="W37" s="4"/>
      <c r="X37" s="4">
        <f t="shared" si="42"/>
        <v>629.30532000000005</v>
      </c>
      <c r="Y37" s="5">
        <f t="shared" si="43"/>
        <v>27689.434080000003</v>
      </c>
      <c r="Z37" s="7">
        <f>U37*6/1000</f>
        <v>188.79159600000003</v>
      </c>
      <c r="AA37" s="76">
        <v>0</v>
      </c>
    </row>
    <row r="38" spans="1:27" x14ac:dyDescent="0.3">
      <c r="A38" s="6">
        <v>26</v>
      </c>
      <c r="B38" s="6" t="s">
        <v>97</v>
      </c>
      <c r="C38" s="7" t="s">
        <v>98</v>
      </c>
      <c r="D38" s="7" t="s">
        <v>8</v>
      </c>
      <c r="E38" s="7"/>
      <c r="F38" s="7" t="s">
        <v>86</v>
      </c>
      <c r="G38" s="7">
        <v>2.81</v>
      </c>
      <c r="H38" s="8">
        <v>17697</v>
      </c>
      <c r="I38" s="20">
        <v>1</v>
      </c>
      <c r="J38" s="6">
        <f t="shared" si="49"/>
        <v>49728.57</v>
      </c>
      <c r="K38" s="7"/>
      <c r="L38" s="7"/>
      <c r="M38" s="7"/>
      <c r="N38" s="7">
        <f t="shared" si="50"/>
        <v>49728.57</v>
      </c>
      <c r="O38" s="9"/>
      <c r="P38" s="7"/>
      <c r="Q38" s="8">
        <v>12178.67</v>
      </c>
      <c r="R38" s="8">
        <v>19485.88</v>
      </c>
      <c r="S38" s="7">
        <f t="shared" si="51"/>
        <v>4972.857</v>
      </c>
      <c r="T38" s="7">
        <f t="shared" si="52"/>
        <v>36637.407000000007</v>
      </c>
      <c r="U38" s="23">
        <f t="shared" si="53"/>
        <v>86365.977000000014</v>
      </c>
      <c r="V38" s="4">
        <f t="shared" si="40"/>
        <v>8636.5977000000021</v>
      </c>
      <c r="W38" s="4">
        <f t="shared" si="41"/>
        <v>2770.2059760000016</v>
      </c>
      <c r="X38" s="4">
        <f t="shared" si="42"/>
        <v>1727.3195400000004</v>
      </c>
      <c r="Y38" s="5">
        <f t="shared" si="43"/>
        <v>73231.853784000021</v>
      </c>
      <c r="Z38" s="7">
        <f>U38*6/1000</f>
        <v>518.19586200000003</v>
      </c>
      <c r="AA38" s="76">
        <v>0</v>
      </c>
    </row>
    <row r="39" spans="1:27" x14ac:dyDescent="0.3">
      <c r="A39" s="6">
        <v>27</v>
      </c>
      <c r="B39" s="6" t="s">
        <v>99</v>
      </c>
      <c r="C39" s="7" t="s">
        <v>98</v>
      </c>
      <c r="D39" s="7" t="s">
        <v>8</v>
      </c>
      <c r="E39" s="7"/>
      <c r="F39" s="7" t="s">
        <v>86</v>
      </c>
      <c r="G39" s="7">
        <v>2.81</v>
      </c>
      <c r="H39" s="8">
        <v>17697</v>
      </c>
      <c r="I39" s="20">
        <v>1</v>
      </c>
      <c r="J39" s="6">
        <f t="shared" si="49"/>
        <v>49728.57</v>
      </c>
      <c r="K39" s="7"/>
      <c r="L39" s="7"/>
      <c r="M39" s="7"/>
      <c r="N39" s="7">
        <f t="shared" si="50"/>
        <v>49728.57</v>
      </c>
      <c r="O39" s="9"/>
      <c r="P39" s="7"/>
      <c r="Q39" s="8">
        <v>12178.67</v>
      </c>
      <c r="R39" s="8">
        <v>19485.88</v>
      </c>
      <c r="S39" s="7">
        <f t="shared" si="51"/>
        <v>4972.857</v>
      </c>
      <c r="T39" s="7">
        <f t="shared" si="52"/>
        <v>36637.407000000007</v>
      </c>
      <c r="U39" s="23">
        <f t="shared" si="53"/>
        <v>86365.977000000014</v>
      </c>
      <c r="V39" s="4">
        <f t="shared" si="40"/>
        <v>8636.5977000000021</v>
      </c>
      <c r="W39" s="4">
        <f t="shared" si="41"/>
        <v>2770.2059760000016</v>
      </c>
      <c r="X39" s="4">
        <f t="shared" si="42"/>
        <v>1727.3195400000004</v>
      </c>
      <c r="Y39" s="5">
        <f t="shared" si="43"/>
        <v>73231.853784000021</v>
      </c>
      <c r="Z39" s="7">
        <f>U39*12/1000</f>
        <v>1036.3917240000001</v>
      </c>
      <c r="AA39" s="76">
        <v>0</v>
      </c>
    </row>
    <row r="40" spans="1:27" x14ac:dyDescent="0.3">
      <c r="A40" s="6">
        <v>28</v>
      </c>
      <c r="B40" s="6" t="s">
        <v>100</v>
      </c>
      <c r="C40" s="7" t="s">
        <v>98</v>
      </c>
      <c r="D40" s="7" t="s">
        <v>30</v>
      </c>
      <c r="E40" s="7"/>
      <c r="F40" s="7" t="s">
        <v>86</v>
      </c>
      <c r="G40" s="7">
        <v>2.81</v>
      </c>
      <c r="H40" s="8">
        <v>17697</v>
      </c>
      <c r="I40" s="20">
        <v>1</v>
      </c>
      <c r="J40" s="6">
        <f t="shared" si="49"/>
        <v>49728.57</v>
      </c>
      <c r="K40" s="7"/>
      <c r="L40" s="7"/>
      <c r="M40" s="7"/>
      <c r="N40" s="7">
        <f t="shared" si="50"/>
        <v>49728.57</v>
      </c>
      <c r="O40" s="9"/>
      <c r="P40" s="7"/>
      <c r="Q40" s="8">
        <v>12178.67</v>
      </c>
      <c r="R40" s="8">
        <v>19485.88</v>
      </c>
      <c r="S40" s="7">
        <f t="shared" si="51"/>
        <v>4972.857</v>
      </c>
      <c r="T40" s="7">
        <f t="shared" si="52"/>
        <v>36637.407000000007</v>
      </c>
      <c r="U40" s="23">
        <f t="shared" si="53"/>
        <v>86365.977000000014</v>
      </c>
      <c r="V40" s="4">
        <f t="shared" si="40"/>
        <v>8636.5977000000021</v>
      </c>
      <c r="W40" s="4">
        <f t="shared" si="41"/>
        <v>2770.2059760000016</v>
      </c>
      <c r="X40" s="4">
        <f t="shared" si="42"/>
        <v>1727.3195400000004</v>
      </c>
      <c r="Y40" s="5">
        <f t="shared" si="43"/>
        <v>73231.853784000021</v>
      </c>
      <c r="Z40" s="7">
        <f t="shared" ref="Z40:Z45" si="54">U40*12/1000</f>
        <v>1036.3917240000001</v>
      </c>
      <c r="AA40" s="76">
        <v>0</v>
      </c>
    </row>
    <row r="41" spans="1:27" x14ac:dyDescent="0.3">
      <c r="A41" s="6">
        <v>29</v>
      </c>
      <c r="B41" s="24" t="s">
        <v>97</v>
      </c>
      <c r="C41" s="26" t="s">
        <v>101</v>
      </c>
      <c r="D41" s="26" t="s">
        <v>30</v>
      </c>
      <c r="E41" s="26"/>
      <c r="F41" s="26" t="s">
        <v>86</v>
      </c>
      <c r="G41" s="26">
        <v>2.81</v>
      </c>
      <c r="H41" s="29">
        <v>17697</v>
      </c>
      <c r="I41" s="27">
        <v>0.5</v>
      </c>
      <c r="J41" s="24">
        <f t="shared" si="49"/>
        <v>24864.285</v>
      </c>
      <c r="K41" s="26"/>
      <c r="L41" s="26"/>
      <c r="M41" s="26"/>
      <c r="N41" s="26">
        <f t="shared" si="50"/>
        <v>24864.285</v>
      </c>
      <c r="O41" s="31"/>
      <c r="P41" s="26"/>
      <c r="Q41" s="29"/>
      <c r="R41" s="29"/>
      <c r="S41" s="26">
        <f t="shared" si="51"/>
        <v>2486.4285</v>
      </c>
      <c r="T41" s="26">
        <f t="shared" si="52"/>
        <v>2486.4285</v>
      </c>
      <c r="U41" s="32">
        <f t="shared" si="53"/>
        <v>27350.713499999998</v>
      </c>
      <c r="V41" s="4">
        <f t="shared" si="40"/>
        <v>2735.0713500000002</v>
      </c>
      <c r="W41" s="4"/>
      <c r="X41" s="4">
        <f t="shared" si="42"/>
        <v>547.01427000000001</v>
      </c>
      <c r="Y41" s="5">
        <f t="shared" si="43"/>
        <v>24068.62788</v>
      </c>
      <c r="Z41" s="26">
        <f t="shared" si="54"/>
        <v>328.20856199999997</v>
      </c>
      <c r="AA41" s="87">
        <v>0</v>
      </c>
    </row>
    <row r="42" spans="1:27" x14ac:dyDescent="0.3">
      <c r="A42" s="24">
        <v>30</v>
      </c>
      <c r="B42" s="6" t="s">
        <v>102</v>
      </c>
      <c r="C42" s="7" t="s">
        <v>103</v>
      </c>
      <c r="D42" s="7" t="s">
        <v>8</v>
      </c>
      <c r="E42" s="7"/>
      <c r="F42" s="7" t="s">
        <v>86</v>
      </c>
      <c r="G42" s="7">
        <v>2.81</v>
      </c>
      <c r="H42" s="8">
        <v>17697</v>
      </c>
      <c r="I42" s="20">
        <v>1</v>
      </c>
      <c r="J42" s="6">
        <f t="shared" si="49"/>
        <v>49728.57</v>
      </c>
      <c r="K42" s="7"/>
      <c r="L42" s="7"/>
      <c r="M42" s="7"/>
      <c r="N42" s="7">
        <f>J42+M42</f>
        <v>49728.57</v>
      </c>
      <c r="O42" s="9"/>
      <c r="P42" s="7"/>
      <c r="Q42" s="8">
        <v>12178.67</v>
      </c>
      <c r="R42" s="8">
        <v>19485.88</v>
      </c>
      <c r="S42" s="7">
        <f t="shared" si="51"/>
        <v>4972.857</v>
      </c>
      <c r="T42" s="7">
        <f t="shared" si="52"/>
        <v>36637.407000000007</v>
      </c>
      <c r="U42" s="23">
        <f t="shared" si="53"/>
        <v>86365.977000000014</v>
      </c>
      <c r="V42" s="4">
        <f t="shared" si="40"/>
        <v>8636.5977000000021</v>
      </c>
      <c r="W42" s="4">
        <f t="shared" si="41"/>
        <v>2770.2059760000016</v>
      </c>
      <c r="X42" s="4">
        <f t="shared" si="42"/>
        <v>1727.3195400000004</v>
      </c>
      <c r="Y42" s="5">
        <f t="shared" si="43"/>
        <v>73231.853784000021</v>
      </c>
      <c r="Z42" s="7">
        <f t="shared" si="54"/>
        <v>1036.3917240000001</v>
      </c>
      <c r="AA42" s="76">
        <v>0</v>
      </c>
    </row>
    <row r="43" spans="1:27" x14ac:dyDescent="0.3">
      <c r="A43" s="6">
        <v>31</v>
      </c>
      <c r="B43" s="6" t="s">
        <v>104</v>
      </c>
      <c r="C43" s="7" t="s">
        <v>103</v>
      </c>
      <c r="D43" s="7" t="s">
        <v>8</v>
      </c>
      <c r="E43" s="7"/>
      <c r="F43" s="7" t="s">
        <v>105</v>
      </c>
      <c r="G43" s="7">
        <v>2.81</v>
      </c>
      <c r="H43" s="8">
        <v>17697</v>
      </c>
      <c r="I43" s="20">
        <v>1</v>
      </c>
      <c r="J43" s="6">
        <f t="shared" si="49"/>
        <v>49728.57</v>
      </c>
      <c r="K43" s="7"/>
      <c r="L43" s="7"/>
      <c r="M43" s="7"/>
      <c r="N43" s="7">
        <f t="shared" si="50"/>
        <v>49728.57</v>
      </c>
      <c r="O43" s="9"/>
      <c r="P43" s="7"/>
      <c r="Q43" s="8">
        <v>12178.67</v>
      </c>
      <c r="R43" s="8">
        <v>19485.88</v>
      </c>
      <c r="S43" s="7">
        <f t="shared" si="51"/>
        <v>4972.857</v>
      </c>
      <c r="T43" s="7">
        <f t="shared" si="52"/>
        <v>36637.407000000007</v>
      </c>
      <c r="U43" s="23">
        <f t="shared" si="53"/>
        <v>86365.977000000014</v>
      </c>
      <c r="V43" s="4">
        <f t="shared" si="40"/>
        <v>8636.5977000000021</v>
      </c>
      <c r="W43" s="4">
        <f t="shared" si="41"/>
        <v>2770.2059760000016</v>
      </c>
      <c r="X43" s="4">
        <f t="shared" si="42"/>
        <v>1727.3195400000004</v>
      </c>
      <c r="Y43" s="5">
        <f t="shared" si="43"/>
        <v>73231.853784000021</v>
      </c>
      <c r="Z43" s="7">
        <f t="shared" si="54"/>
        <v>1036.3917240000001</v>
      </c>
      <c r="AA43" s="76">
        <v>0</v>
      </c>
    </row>
    <row r="44" spans="1:27" x14ac:dyDescent="0.3">
      <c r="A44" s="6">
        <v>32</v>
      </c>
      <c r="B44" s="6" t="s">
        <v>106</v>
      </c>
      <c r="C44" s="7" t="s">
        <v>103</v>
      </c>
      <c r="D44" s="7" t="s">
        <v>8</v>
      </c>
      <c r="E44" s="7"/>
      <c r="F44" s="7" t="s">
        <v>86</v>
      </c>
      <c r="G44" s="7">
        <v>2.81</v>
      </c>
      <c r="H44" s="8">
        <v>17697</v>
      </c>
      <c r="I44" s="20">
        <v>1</v>
      </c>
      <c r="J44" s="6">
        <f t="shared" si="49"/>
        <v>49728.57</v>
      </c>
      <c r="K44" s="7"/>
      <c r="L44" s="7"/>
      <c r="M44" s="7"/>
      <c r="N44" s="7">
        <f t="shared" si="50"/>
        <v>49728.57</v>
      </c>
      <c r="O44" s="9"/>
      <c r="P44" s="7"/>
      <c r="Q44" s="8">
        <v>12178.67</v>
      </c>
      <c r="R44" s="8">
        <v>19485.88</v>
      </c>
      <c r="S44" s="7">
        <f t="shared" si="51"/>
        <v>4972.857</v>
      </c>
      <c r="T44" s="7">
        <f t="shared" si="52"/>
        <v>36637.407000000007</v>
      </c>
      <c r="U44" s="23">
        <f t="shared" si="53"/>
        <v>86365.977000000014</v>
      </c>
      <c r="V44" s="4">
        <f t="shared" si="40"/>
        <v>8636.5977000000021</v>
      </c>
      <c r="W44" s="4">
        <f t="shared" si="41"/>
        <v>2770.2059760000016</v>
      </c>
      <c r="X44" s="4">
        <f t="shared" si="42"/>
        <v>1727.3195400000004</v>
      </c>
      <c r="Y44" s="5">
        <f t="shared" si="43"/>
        <v>73231.853784000021</v>
      </c>
      <c r="Z44" s="7">
        <f t="shared" si="54"/>
        <v>1036.3917240000001</v>
      </c>
      <c r="AA44" s="76">
        <v>0</v>
      </c>
    </row>
    <row r="45" spans="1:27" x14ac:dyDescent="0.3">
      <c r="A45" s="6">
        <v>33</v>
      </c>
      <c r="B45" s="6" t="s">
        <v>107</v>
      </c>
      <c r="C45" s="7" t="s">
        <v>108</v>
      </c>
      <c r="D45" s="7" t="s">
        <v>8</v>
      </c>
      <c r="E45" s="7"/>
      <c r="F45" s="7" t="s">
        <v>86</v>
      </c>
      <c r="G45" s="7">
        <v>2.81</v>
      </c>
      <c r="H45" s="8">
        <v>17697</v>
      </c>
      <c r="I45" s="20">
        <v>0.5</v>
      </c>
      <c r="J45" s="6">
        <f t="shared" si="49"/>
        <v>24864.285</v>
      </c>
      <c r="K45" s="7"/>
      <c r="L45" s="7"/>
      <c r="M45" s="7"/>
      <c r="N45" s="7">
        <f t="shared" si="50"/>
        <v>24864.285</v>
      </c>
      <c r="O45" s="9"/>
      <c r="P45" s="7"/>
      <c r="Q45" s="8"/>
      <c r="R45" s="8"/>
      <c r="S45" s="7">
        <f t="shared" si="51"/>
        <v>2486.4285</v>
      </c>
      <c r="T45" s="7">
        <f t="shared" si="52"/>
        <v>2486.4285</v>
      </c>
      <c r="U45" s="23">
        <f t="shared" si="53"/>
        <v>27350.713499999998</v>
      </c>
      <c r="V45" s="4">
        <f t="shared" si="40"/>
        <v>2735.0713500000002</v>
      </c>
      <c r="W45" s="4"/>
      <c r="X45" s="4">
        <f t="shared" si="42"/>
        <v>547.01427000000001</v>
      </c>
      <c r="Y45" s="5">
        <f t="shared" si="43"/>
        <v>24068.62788</v>
      </c>
      <c r="Z45" s="7">
        <f t="shared" si="54"/>
        <v>328.20856199999997</v>
      </c>
      <c r="AA45" s="76">
        <v>0</v>
      </c>
    </row>
    <row r="46" spans="1:27" x14ac:dyDescent="0.3">
      <c r="A46" s="6">
        <v>34</v>
      </c>
      <c r="B46" s="6" t="s">
        <v>107</v>
      </c>
      <c r="C46" s="7" t="s">
        <v>109</v>
      </c>
      <c r="D46" s="7" t="s">
        <v>8</v>
      </c>
      <c r="E46" s="7"/>
      <c r="F46" s="7" t="s">
        <v>86</v>
      </c>
      <c r="G46" s="7">
        <v>2.81</v>
      </c>
      <c r="H46" s="8">
        <v>17697</v>
      </c>
      <c r="I46" s="20">
        <v>0.5</v>
      </c>
      <c r="J46" s="6">
        <f>H46*G46*I46</f>
        <v>24864.285</v>
      </c>
      <c r="K46" s="7"/>
      <c r="L46" s="7"/>
      <c r="M46" s="7"/>
      <c r="N46" s="7">
        <f t="shared" si="50"/>
        <v>24864.285</v>
      </c>
      <c r="O46" s="9"/>
      <c r="P46" s="7"/>
      <c r="Q46" s="8"/>
      <c r="R46" s="8"/>
      <c r="S46" s="7">
        <f>J46*10%</f>
        <v>2486.4285</v>
      </c>
      <c r="T46" s="7">
        <f>P46+Q46+R46+S46</f>
        <v>2486.4285</v>
      </c>
      <c r="U46" s="23">
        <f>N46+T46</f>
        <v>27350.713499999998</v>
      </c>
      <c r="V46" s="4">
        <f t="shared" si="40"/>
        <v>2735.0713500000002</v>
      </c>
      <c r="W46" s="4"/>
      <c r="X46" s="4">
        <f>SUM(U46*2%)</f>
        <v>547.01427000000001</v>
      </c>
      <c r="Y46" s="5">
        <f t="shared" si="43"/>
        <v>24068.62788</v>
      </c>
      <c r="Z46" s="7">
        <f>U46*12/1000</f>
        <v>328.20856199999997</v>
      </c>
      <c r="AA46" s="76">
        <v>1</v>
      </c>
    </row>
    <row r="47" spans="1:27" x14ac:dyDescent="0.3">
      <c r="A47" s="6"/>
      <c r="B47" s="88" t="s">
        <v>110</v>
      </c>
      <c r="C47" s="89" t="s">
        <v>110</v>
      </c>
      <c r="D47" s="90"/>
      <c r="E47" s="91"/>
      <c r="F47" s="91"/>
      <c r="G47" s="91"/>
      <c r="H47" s="91"/>
      <c r="I47" s="89">
        <f>SUM(J4+J6+I23+I26+I30)</f>
        <v>122030.845</v>
      </c>
      <c r="J47" s="92">
        <f>K4+K6+J23+J26+J30</f>
        <v>1213280.0860000001</v>
      </c>
      <c r="K47" s="93">
        <f>SUM(L4+L6)</f>
        <v>191586.60499999998</v>
      </c>
      <c r="L47" s="89">
        <f>SUM(M6+M4)</f>
        <v>78400</v>
      </c>
      <c r="M47" s="89">
        <f t="shared" ref="M47:U47" si="55">N4+N6+M23+M26+M30</f>
        <v>392000</v>
      </c>
      <c r="N47" s="89">
        <f t="shared" si="55"/>
        <v>874815.80099999998</v>
      </c>
      <c r="O47" s="89">
        <f t="shared" si="55"/>
        <v>2.7</v>
      </c>
      <c r="P47" s="89">
        <f t="shared" si="55"/>
        <v>47516.46</v>
      </c>
      <c r="Q47" s="89">
        <f t="shared" si="55"/>
        <v>73072.02</v>
      </c>
      <c r="R47" s="89">
        <f t="shared" si="55"/>
        <v>156115.28000000003</v>
      </c>
      <c r="S47" s="89">
        <f t="shared" si="55"/>
        <v>126681.58010000001</v>
      </c>
      <c r="T47" s="89">
        <f t="shared" si="55"/>
        <v>756185.34010000003</v>
      </c>
      <c r="U47" s="94">
        <f t="shared" si="55"/>
        <v>1230757.9911</v>
      </c>
      <c r="V47" s="95">
        <f>SUM(W4:W46)</f>
        <v>134436.91368329996</v>
      </c>
      <c r="W47" s="95">
        <f>X4+X6+W23+W26+W30</f>
        <v>4266.0140039999997</v>
      </c>
      <c r="X47" s="95">
        <f>Y4+Y6+X23+X26+X30</f>
        <v>347944.77591000003</v>
      </c>
      <c r="Y47" s="95">
        <v>2981310.37</v>
      </c>
      <c r="Z47" s="89">
        <f>AA4+AA6+Z23+Z26+Z30</f>
        <v>326345.32328319998</v>
      </c>
      <c r="AA47" s="89"/>
    </row>
    <row r="48" spans="1:27" x14ac:dyDescent="0.3">
      <c r="A48" s="74">
        <v>35</v>
      </c>
    </row>
    <row r="54" spans="26:26" x14ac:dyDescent="0.3">
      <c r="Z54" t="s">
        <v>111</v>
      </c>
    </row>
  </sheetData>
  <mergeCells count="15">
    <mergeCell ref="A1:A2"/>
    <mergeCell ref="B1:B2"/>
    <mergeCell ref="C1:C2"/>
    <mergeCell ref="D1:D2"/>
    <mergeCell ref="E1:E2"/>
    <mergeCell ref="U1:U2"/>
    <mergeCell ref="Z1:Z2"/>
    <mergeCell ref="AA1:AA2"/>
    <mergeCell ref="B3:C3"/>
    <mergeCell ref="F1:F2"/>
    <mergeCell ref="G1:G2"/>
    <mergeCell ref="H1:H2"/>
    <mergeCell ref="N1:N2"/>
    <mergeCell ref="O1:P1"/>
    <mergeCell ref="T1:T2"/>
  </mergeCells>
  <pageMargins left="0.25" right="0.25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2024-01-15T05:44:40Z</cp:lastPrinted>
  <dcterms:created xsi:type="dcterms:W3CDTF">2015-06-05T18:17:20Z</dcterms:created>
  <dcterms:modified xsi:type="dcterms:W3CDTF">2024-01-15T05:46:10Z</dcterms:modified>
</cp:coreProperties>
</file>